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</sheets>
  <definedNames>
    <definedName name="AppD1">'Sheet1'!$A$1:$K$66</definedName>
    <definedName name="AppD2">'Sheet1'!$A$67:$J$107</definedName>
    <definedName name="_xlnm.Print_Area" localSheetId="0">'Sheet1'!$A$67:$J$107</definedName>
  </definedNames>
  <calcPr fullCalcOnLoad="1"/>
</workbook>
</file>

<file path=xl/sharedStrings.xml><?xml version="1.0" encoding="utf-8"?>
<sst xmlns="http://schemas.openxmlformats.org/spreadsheetml/2006/main" count="203" uniqueCount="89">
  <si>
    <t>10.00 - 10.59</t>
  </si>
  <si>
    <t>11.00 - 11.59</t>
  </si>
  <si>
    <t>12.00 - 12.59</t>
  </si>
  <si>
    <t>13.00 - 13.59</t>
  </si>
  <si>
    <t>14.00 - 14.59</t>
  </si>
  <si>
    <t>15.00 - 15.59</t>
  </si>
  <si>
    <t>16.00 - 16.59</t>
  </si>
  <si>
    <t>Category A</t>
  </si>
  <si>
    <t>Category B</t>
  </si>
  <si>
    <t>Category C</t>
  </si>
  <si>
    <t>17 weekends + 9 weeks</t>
  </si>
  <si>
    <t>15 weekends</t>
  </si>
  <si>
    <t>Category D</t>
  </si>
  <si>
    <t>17 weekends + 3 weeks</t>
  </si>
  <si>
    <t>38 weeks</t>
  </si>
  <si>
    <t>Potential</t>
  </si>
  <si>
    <t>visitors</t>
  </si>
  <si>
    <t>Children</t>
  </si>
  <si>
    <t>Admissions</t>
  </si>
  <si>
    <t>Excess</t>
  </si>
  <si>
    <t>Queue</t>
  </si>
  <si>
    <t>Actual</t>
  </si>
  <si>
    <t>Percentage prepared to wait</t>
  </si>
  <si>
    <t>Adult admission charge</t>
  </si>
  <si>
    <t>Concession admission charge</t>
  </si>
  <si>
    <t>Revenue</t>
  </si>
  <si>
    <t>Daily</t>
  </si>
  <si>
    <t>Projected Annual Revenue:</t>
  </si>
  <si>
    <t>Days</t>
  </si>
  <si>
    <t>£</t>
  </si>
  <si>
    <t>Total</t>
  </si>
  <si>
    <t>Add:</t>
  </si>
  <si>
    <t>JUMP Grant</t>
  </si>
  <si>
    <t>Projected Revenue</t>
  </si>
  <si>
    <t>Merchandise</t>
  </si>
  <si>
    <t>Turnover</t>
  </si>
  <si>
    <t>Merchandise margin</t>
  </si>
  <si>
    <t>Margin</t>
  </si>
  <si>
    <t>Appendix D1</t>
  </si>
  <si>
    <t>Maximum museum visitor capacity</t>
  </si>
  <si>
    <t>=</t>
  </si>
  <si>
    <r>
      <t>£227,000 x (1.05)</t>
    </r>
    <r>
      <rPr>
        <u val="single"/>
        <vertAlign val="superscript"/>
        <sz val="11"/>
        <rFont val="Times New Roman"/>
        <family val="1"/>
      </rPr>
      <t>7</t>
    </r>
  </si>
  <si>
    <r>
      <t>((1.05)</t>
    </r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)-1)/0.05</t>
    </r>
  </si>
  <si>
    <t>Staffing costs:</t>
  </si>
  <si>
    <t>Curator</t>
  </si>
  <si>
    <t>Plus:</t>
  </si>
  <si>
    <t>Oncosts (17%)</t>
  </si>
  <si>
    <t>Assistant curators (2)</t>
  </si>
  <si>
    <t>Promotion</t>
  </si>
  <si>
    <t>Other non-staff costs</t>
  </si>
  <si>
    <t>Loan repayment</t>
  </si>
  <si>
    <t>Shortfall</t>
  </si>
  <si>
    <t>Expenses</t>
  </si>
  <si>
    <t>Concessions</t>
  </si>
  <si>
    <t>Credit card commission (2% of 35% of admission + shop sales)</t>
  </si>
  <si>
    <t>Effect of opening for 180 days per year</t>
  </si>
  <si>
    <t>Admission charges</t>
  </si>
  <si>
    <t>Merchandising</t>
  </si>
  <si>
    <t>Savings</t>
  </si>
  <si>
    <t>50% of staffing costs</t>
  </si>
  <si>
    <t>Say 40% of non-staff costs</t>
  </si>
  <si>
    <t>Credit card commission</t>
  </si>
  <si>
    <t>Increase charges</t>
  </si>
  <si>
    <t>Existing income</t>
  </si>
  <si>
    <t>Required increase in admission revenue</t>
  </si>
  <si>
    <t>Percentage increase in charges required to break even:</t>
  </si>
  <si>
    <t>Existing projected deficit</t>
  </si>
  <si>
    <t>Loss of 168 Category D days revenue</t>
  </si>
  <si>
    <t>Appendix D2</t>
  </si>
  <si>
    <t>Customers</t>
  </si>
  <si>
    <t>Average Daily</t>
  </si>
  <si>
    <t>Sales per</t>
  </si>
  <si>
    <t>Customer</t>
  </si>
  <si>
    <t>Gross</t>
  </si>
  <si>
    <t>Profit</t>
  </si>
  <si>
    <t>Page</t>
  </si>
  <si>
    <t>20</t>
  </si>
  <si>
    <t>28</t>
  </si>
  <si>
    <t>17</t>
  </si>
  <si>
    <t>7,15</t>
  </si>
  <si>
    <t>17,19,20,28</t>
  </si>
  <si>
    <t>Admission</t>
  </si>
  <si>
    <t>15,20,29</t>
  </si>
  <si>
    <t>Total costs</t>
  </si>
  <si>
    <t>Total revenue</t>
  </si>
  <si>
    <t>Total Staffing cost</t>
  </si>
  <si>
    <t>Reduced projected deficit</t>
  </si>
  <si>
    <t>19,App D1</t>
  </si>
  <si>
    <t>App D1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</si>
</sst>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.0;\(#,##0.0\)"/>
    <numFmt numFmtId="166" formatCode="#,##0;\(#,##0\)"/>
    <numFmt numFmtId="167" formatCode="#,##0.000;\(#,##0.000\)"/>
    <numFmt numFmtId="168" formatCode="#,##0.0000;\(#,##0.0000\)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</numFmts>
  <fonts count="8">
    <font>
      <sz val="11"/>
      <name val="Times New Roman"/>
      <family val="1"/>
    </font>
    <font>
      <sz val="10"/>
      <name val="Arial"/>
      <family val="0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 quotePrefix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6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44" fontId="0" fillId="0" borderId="0" xfId="17" applyAlignment="1">
      <alignment/>
    </xf>
    <xf numFmtId="164" fontId="0" fillId="0" borderId="1" xfId="0" applyBorder="1" applyAlignment="1">
      <alignment/>
    </xf>
    <xf numFmtId="164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43" fontId="0" fillId="0" borderId="0" xfId="15" applyAlignment="1">
      <alignment/>
    </xf>
    <xf numFmtId="166" fontId="0" fillId="0" borderId="2" xfId="0" applyNumberFormat="1" applyBorder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9" fontId="0" fillId="0" borderId="0" xfId="0" applyNumberFormat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170" fontId="5" fillId="0" borderId="0" xfId="17" applyNumberFormat="1" applyFont="1" applyAlignment="1">
      <alignment/>
    </xf>
    <xf numFmtId="170" fontId="0" fillId="0" borderId="0" xfId="17" applyNumberFormat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tabSelected="1" workbookViewId="0" topLeftCell="A73">
      <selection activeCell="J87" sqref="J87"/>
    </sheetView>
  </sheetViews>
  <sheetFormatPr defaultColWidth="9.140625" defaultRowHeight="15"/>
  <cols>
    <col min="1" max="4" width="8.00390625" style="0" customWidth="1"/>
    <col min="5" max="5" width="11.140625" style="0" customWidth="1"/>
    <col min="6" max="6" width="10.57421875" style="0" customWidth="1"/>
    <col min="7" max="7" width="8.8515625" style="0" customWidth="1"/>
    <col min="8" max="8" width="8.7109375" style="0" customWidth="1"/>
    <col min="9" max="9" width="8.00390625" style="0" customWidth="1"/>
    <col min="11" max="11" width="10.140625" style="0" customWidth="1"/>
    <col min="12" max="16384" width="8.00390625" style="0" customWidth="1"/>
  </cols>
  <sheetData>
    <row r="1" spans="1:11" ht="15">
      <c r="A1" s="1" t="s">
        <v>38</v>
      </c>
      <c r="K1" s="24" t="s">
        <v>75</v>
      </c>
    </row>
    <row r="2" ht="15">
      <c r="A2" s="1"/>
    </row>
    <row r="3" spans="1:11" ht="15">
      <c r="A3" s="1"/>
      <c r="B3" t="s">
        <v>39</v>
      </c>
      <c r="G3" s="5">
        <v>24</v>
      </c>
      <c r="K3" s="3" t="s">
        <v>76</v>
      </c>
    </row>
    <row r="4" spans="1:11" ht="15">
      <c r="A4" s="1"/>
      <c r="B4" t="s">
        <v>22</v>
      </c>
      <c r="G4" s="9">
        <v>0.4</v>
      </c>
      <c r="K4" s="3" t="s">
        <v>77</v>
      </c>
    </row>
    <row r="5" spans="1:11" ht="15">
      <c r="A5" s="1"/>
      <c r="B5" t="s">
        <v>23</v>
      </c>
      <c r="G5" s="10">
        <v>2.5</v>
      </c>
      <c r="K5" s="3" t="s">
        <v>78</v>
      </c>
    </row>
    <row r="6" spans="1:11" ht="15">
      <c r="A6" s="1"/>
      <c r="B6" t="s">
        <v>24</v>
      </c>
      <c r="G6" s="10">
        <v>1.5</v>
      </c>
      <c r="K6" s="3" t="s">
        <v>78</v>
      </c>
    </row>
    <row r="7" spans="1:11" ht="15">
      <c r="A7" s="1"/>
      <c r="B7" t="s">
        <v>36</v>
      </c>
      <c r="G7" s="9">
        <v>0.45</v>
      </c>
      <c r="K7" s="3" t="s">
        <v>78</v>
      </c>
    </row>
    <row r="8" spans="1:7" ht="15">
      <c r="A8" s="1"/>
      <c r="G8" s="9"/>
    </row>
    <row r="9" spans="3:9" ht="15">
      <c r="C9" s="6" t="s">
        <v>15</v>
      </c>
      <c r="D9" s="6"/>
      <c r="E9" s="6" t="s">
        <v>15</v>
      </c>
      <c r="F9" t="s">
        <v>21</v>
      </c>
      <c r="I9" s="6" t="s">
        <v>26</v>
      </c>
    </row>
    <row r="10" spans="1:9" ht="15">
      <c r="A10" s="1"/>
      <c r="C10" s="6" t="s">
        <v>16</v>
      </c>
      <c r="D10" s="6" t="s">
        <v>20</v>
      </c>
      <c r="E10" t="s">
        <v>18</v>
      </c>
      <c r="F10" t="s">
        <v>18</v>
      </c>
      <c r="G10" t="s">
        <v>19</v>
      </c>
      <c r="I10" s="6" t="s">
        <v>25</v>
      </c>
    </row>
    <row r="11" spans="1:9" ht="15">
      <c r="A11" s="1" t="s">
        <v>7</v>
      </c>
      <c r="C11" s="6"/>
      <c r="D11" s="6"/>
      <c r="I11" s="6" t="s">
        <v>29</v>
      </c>
    </row>
    <row r="12" spans="1:11" ht="15">
      <c r="A12" t="s">
        <v>0</v>
      </c>
      <c r="C12" s="12">
        <f>+Sheet2!$F$15*Sheet2!D4</f>
        <v>6</v>
      </c>
      <c r="D12" s="12">
        <v>0</v>
      </c>
      <c r="E12" s="12">
        <f aca="true" t="shared" si="0" ref="E12:E18">SUM(C12:D12)</f>
        <v>6</v>
      </c>
      <c r="F12" s="12">
        <f>MIN(E12,$G$3)</f>
        <v>6</v>
      </c>
      <c r="G12" s="12">
        <f aca="true" t="shared" si="1" ref="G12:G18">IF(E12&lt;=F12,0,E12-F12)</f>
        <v>0</v>
      </c>
      <c r="I12">
        <f>+(F12*$G$5*(1-Sheet2!$G$15))+(F12*$G$6*Sheet2!$G$15)</f>
        <v>12.3</v>
      </c>
      <c r="K12" s="3" t="s">
        <v>80</v>
      </c>
    </row>
    <row r="13" spans="1:11" ht="15">
      <c r="A13" t="s">
        <v>1</v>
      </c>
      <c r="C13" s="12">
        <f>+Sheet2!$F$15*Sheet2!D5</f>
        <v>18</v>
      </c>
      <c r="D13" s="12">
        <f aca="true" t="shared" si="2" ref="D13:D18">+G12*$G$4</f>
        <v>0</v>
      </c>
      <c r="E13" s="12">
        <f t="shared" si="0"/>
        <v>18</v>
      </c>
      <c r="F13" s="12">
        <f aca="true" t="shared" si="3" ref="F13:F18">MIN(E13,$G$3)</f>
        <v>18</v>
      </c>
      <c r="G13" s="12">
        <f t="shared" si="1"/>
        <v>0</v>
      </c>
      <c r="I13">
        <f>+(F13*$G$5*(1-Sheet2!$G$15))+(F13*$G$6*Sheet2!$G$15)</f>
        <v>36.900000000000006</v>
      </c>
      <c r="K13" s="3" t="s">
        <v>80</v>
      </c>
    </row>
    <row r="14" spans="1:11" ht="15">
      <c r="A14" t="s">
        <v>2</v>
      </c>
      <c r="C14" s="12">
        <f>+Sheet2!$F$15*Sheet2!D6</f>
        <v>30</v>
      </c>
      <c r="D14" s="12">
        <f t="shared" si="2"/>
        <v>0</v>
      </c>
      <c r="E14" s="12">
        <f t="shared" si="0"/>
        <v>30</v>
      </c>
      <c r="F14" s="12">
        <f t="shared" si="3"/>
        <v>24</v>
      </c>
      <c r="G14" s="12">
        <f t="shared" si="1"/>
        <v>6</v>
      </c>
      <c r="I14">
        <f>+(F14*$G$5*(1-Sheet2!$G$15))+(F14*$G$6*Sheet2!$G$15)</f>
        <v>49.2</v>
      </c>
      <c r="K14" s="3" t="s">
        <v>80</v>
      </c>
    </row>
    <row r="15" spans="1:11" ht="15">
      <c r="A15" t="s">
        <v>3</v>
      </c>
      <c r="C15" s="12">
        <f>+Sheet2!$F$15*Sheet2!D7</f>
        <v>39</v>
      </c>
      <c r="D15" s="12">
        <f t="shared" si="2"/>
        <v>2.4000000000000004</v>
      </c>
      <c r="E15" s="12">
        <f t="shared" si="0"/>
        <v>41.4</v>
      </c>
      <c r="F15" s="12">
        <f t="shared" si="3"/>
        <v>24</v>
      </c>
      <c r="G15" s="12">
        <f t="shared" si="1"/>
        <v>17.4</v>
      </c>
      <c r="I15">
        <f>+(F15*$G$5*(1-Sheet2!$G$15))+(F15*$G$6*Sheet2!$G$15)</f>
        <v>49.2</v>
      </c>
      <c r="K15" s="3" t="s">
        <v>80</v>
      </c>
    </row>
    <row r="16" spans="1:11" ht="15">
      <c r="A16" t="s">
        <v>4</v>
      </c>
      <c r="C16" s="12">
        <f>+Sheet2!$F$15*Sheet2!D8</f>
        <v>33</v>
      </c>
      <c r="D16" s="12">
        <f t="shared" si="2"/>
        <v>6.96</v>
      </c>
      <c r="E16" s="12">
        <f t="shared" si="0"/>
        <v>39.96</v>
      </c>
      <c r="F16" s="12">
        <f t="shared" si="3"/>
        <v>24</v>
      </c>
      <c r="G16" s="12">
        <f t="shared" si="1"/>
        <v>15.96</v>
      </c>
      <c r="I16">
        <f>+(F16*$G$5*(1-Sheet2!$G$15))+(F16*$G$6*Sheet2!$G$15)</f>
        <v>49.2</v>
      </c>
      <c r="K16" s="3" t="s">
        <v>80</v>
      </c>
    </row>
    <row r="17" spans="1:11" ht="15">
      <c r="A17" t="s">
        <v>5</v>
      </c>
      <c r="C17" s="12">
        <f>+Sheet2!$F$15*Sheet2!D9</f>
        <v>15</v>
      </c>
      <c r="D17" s="12">
        <f t="shared" si="2"/>
        <v>6.384</v>
      </c>
      <c r="E17" s="12">
        <f t="shared" si="0"/>
        <v>21.384</v>
      </c>
      <c r="F17" s="12">
        <f t="shared" si="3"/>
        <v>21.384</v>
      </c>
      <c r="G17" s="12">
        <f t="shared" si="1"/>
        <v>0</v>
      </c>
      <c r="I17">
        <f>+(F17*$G$5*(1-Sheet2!$G$15))+(F17*$G$6*Sheet2!$G$15)</f>
        <v>43.8372</v>
      </c>
      <c r="K17" s="3" t="s">
        <v>80</v>
      </c>
    </row>
    <row r="18" spans="1:11" ht="15">
      <c r="A18" t="s">
        <v>6</v>
      </c>
      <c r="C18" s="12">
        <f>+Sheet2!$F$15*Sheet2!D10</f>
        <v>9</v>
      </c>
      <c r="D18" s="12">
        <f t="shared" si="2"/>
        <v>0</v>
      </c>
      <c r="E18" s="12">
        <f t="shared" si="0"/>
        <v>9</v>
      </c>
      <c r="F18" s="12">
        <f t="shared" si="3"/>
        <v>9</v>
      </c>
      <c r="G18" s="12">
        <f t="shared" si="1"/>
        <v>0</v>
      </c>
      <c r="I18">
        <f>+(F18*$G$5*(1-Sheet2!$G$15))+(F18*$G$6*Sheet2!$G$15)</f>
        <v>18.450000000000003</v>
      </c>
      <c r="K18" s="3" t="s">
        <v>80</v>
      </c>
    </row>
    <row r="19" spans="1:9" ht="15.75" thickBot="1">
      <c r="A19" s="3"/>
      <c r="F19" s="11">
        <f>SUM(F12:F18)</f>
        <v>126.384</v>
      </c>
      <c r="I19" s="11">
        <f>SUM(I12:I18)</f>
        <v>259.0872</v>
      </c>
    </row>
    <row r="20" spans="1:9" ht="15.75" thickTop="1">
      <c r="A20" s="1" t="s">
        <v>8</v>
      </c>
      <c r="C20" s="6"/>
      <c r="D20" s="6"/>
      <c r="I20" s="6" t="s">
        <v>29</v>
      </c>
    </row>
    <row r="21" spans="1:11" ht="15">
      <c r="A21" t="s">
        <v>0</v>
      </c>
      <c r="C21" s="12">
        <f>+Sheet2!$F$17*Sheet2!D4</f>
        <v>4.8</v>
      </c>
      <c r="D21" s="12">
        <v>0</v>
      </c>
      <c r="E21" s="12">
        <f aca="true" t="shared" si="4" ref="E21:E27">SUM(C21:D21)</f>
        <v>4.8</v>
      </c>
      <c r="F21" s="12">
        <f>MIN(E21,$G$3)</f>
        <v>4.8</v>
      </c>
      <c r="G21" s="12">
        <f aca="true" t="shared" si="5" ref="G21:G27">IF(E21&lt;=F21,0,E21-F21)</f>
        <v>0</v>
      </c>
      <c r="I21">
        <f>+(F21*$G$5*(1-Sheet2!$G$17))+(F21*$G$6*Sheet2!$G$17)</f>
        <v>10.079999999999998</v>
      </c>
      <c r="K21" s="3" t="s">
        <v>80</v>
      </c>
    </row>
    <row r="22" spans="1:11" ht="15">
      <c r="A22" t="s">
        <v>1</v>
      </c>
      <c r="C22" s="12">
        <f>+Sheet2!$F$17*Sheet2!D5</f>
        <v>14.399999999999999</v>
      </c>
      <c r="D22" s="12">
        <f aca="true" t="shared" si="6" ref="D22:D27">+G21*$G$4</f>
        <v>0</v>
      </c>
      <c r="E22" s="12">
        <f t="shared" si="4"/>
        <v>14.399999999999999</v>
      </c>
      <c r="F22" s="12">
        <f aca="true" t="shared" si="7" ref="F22:F27">MIN(E22,$G$3)</f>
        <v>14.399999999999999</v>
      </c>
      <c r="G22" s="12">
        <f t="shared" si="5"/>
        <v>0</v>
      </c>
      <c r="I22">
        <f>+(F22*$G$5*(1-Sheet2!$G$17))+(F22*$G$6*Sheet2!$G$17)</f>
        <v>30.239999999999995</v>
      </c>
      <c r="K22" s="3" t="s">
        <v>80</v>
      </c>
    </row>
    <row r="23" spans="1:11" ht="15">
      <c r="A23" t="s">
        <v>2</v>
      </c>
      <c r="C23" s="12">
        <f>+Sheet2!$F$17*Sheet2!D6</f>
        <v>24</v>
      </c>
      <c r="D23" s="12">
        <f t="shared" si="6"/>
        <v>0</v>
      </c>
      <c r="E23" s="12">
        <f t="shared" si="4"/>
        <v>24</v>
      </c>
      <c r="F23" s="12">
        <f t="shared" si="7"/>
        <v>24</v>
      </c>
      <c r="G23" s="12">
        <f t="shared" si="5"/>
        <v>0</v>
      </c>
      <c r="I23">
        <f>+(F23*$G$5*(1-Sheet2!$G$17))+(F23*$G$6*Sheet2!$G$17)</f>
        <v>50.4</v>
      </c>
      <c r="K23" s="3" t="s">
        <v>80</v>
      </c>
    </row>
    <row r="24" spans="1:11" ht="15">
      <c r="A24" t="s">
        <v>3</v>
      </c>
      <c r="C24" s="12">
        <f>+Sheet2!$F$17*Sheet2!D7</f>
        <v>31.200000000000003</v>
      </c>
      <c r="D24" s="12">
        <f t="shared" si="6"/>
        <v>0</v>
      </c>
      <c r="E24" s="12">
        <f t="shared" si="4"/>
        <v>31.200000000000003</v>
      </c>
      <c r="F24" s="12">
        <f t="shared" si="7"/>
        <v>24</v>
      </c>
      <c r="G24" s="12">
        <f t="shared" si="5"/>
        <v>7.200000000000003</v>
      </c>
      <c r="I24">
        <f>+(F24*$G$5*(1-Sheet2!$G$17))+(F24*$G$6*Sheet2!$G$17)</f>
        <v>50.4</v>
      </c>
      <c r="K24" s="3" t="s">
        <v>80</v>
      </c>
    </row>
    <row r="25" spans="1:11" ht="15">
      <c r="A25" t="s">
        <v>4</v>
      </c>
      <c r="C25" s="12">
        <f>+Sheet2!$F$17*Sheet2!D8</f>
        <v>26.4</v>
      </c>
      <c r="D25" s="12">
        <f t="shared" si="6"/>
        <v>2.8800000000000012</v>
      </c>
      <c r="E25" s="12">
        <f t="shared" si="4"/>
        <v>29.28</v>
      </c>
      <c r="F25" s="12">
        <f t="shared" si="7"/>
        <v>24</v>
      </c>
      <c r="G25" s="12">
        <f t="shared" si="5"/>
        <v>5.280000000000001</v>
      </c>
      <c r="I25">
        <f>+(F25*$G$5*(1-Sheet2!$G$17))+(F25*$G$6*Sheet2!$G$17)</f>
        <v>50.4</v>
      </c>
      <c r="K25" s="3" t="s">
        <v>80</v>
      </c>
    </row>
    <row r="26" spans="1:11" ht="15">
      <c r="A26" t="s">
        <v>5</v>
      </c>
      <c r="C26" s="12">
        <f>+Sheet2!$F$17*Sheet2!D9</f>
        <v>12</v>
      </c>
      <c r="D26" s="12">
        <f t="shared" si="6"/>
        <v>2.1120000000000005</v>
      </c>
      <c r="E26" s="12">
        <f t="shared" si="4"/>
        <v>14.112</v>
      </c>
      <c r="F26" s="12">
        <f t="shared" si="7"/>
        <v>14.112</v>
      </c>
      <c r="G26" s="12">
        <f t="shared" si="5"/>
        <v>0</v>
      </c>
      <c r="I26">
        <f>+(F26*$G$5*(1-Sheet2!$G$17))+(F26*$G$6*Sheet2!$G$17)</f>
        <v>29.635199999999998</v>
      </c>
      <c r="K26" s="3" t="s">
        <v>80</v>
      </c>
    </row>
    <row r="27" spans="1:11" ht="15">
      <c r="A27" t="s">
        <v>6</v>
      </c>
      <c r="C27" s="12">
        <f>+Sheet2!$F$17*Sheet2!D10</f>
        <v>7.199999999999999</v>
      </c>
      <c r="D27" s="12">
        <f t="shared" si="6"/>
        <v>0</v>
      </c>
      <c r="E27" s="12">
        <f t="shared" si="4"/>
        <v>7.199999999999999</v>
      </c>
      <c r="F27" s="12">
        <f t="shared" si="7"/>
        <v>7.199999999999999</v>
      </c>
      <c r="G27" s="12">
        <f t="shared" si="5"/>
        <v>0</v>
      </c>
      <c r="I27">
        <f>+(F27*$G$5*(1-Sheet2!$G$17))+(F27*$G$6*Sheet2!$G$17)</f>
        <v>15.119999999999997</v>
      </c>
      <c r="K27" s="3" t="s">
        <v>80</v>
      </c>
    </row>
    <row r="28" spans="1:9" ht="15.75" thickBot="1">
      <c r="A28" s="3"/>
      <c r="F28" s="11">
        <f>SUM(F21:F27)</f>
        <v>112.512</v>
      </c>
      <c r="I28" s="11">
        <f>SUM(I21:I27)</f>
        <v>236.2752</v>
      </c>
    </row>
    <row r="29" spans="1:9" ht="15.75" thickTop="1">
      <c r="A29" s="1" t="s">
        <v>9</v>
      </c>
      <c r="C29" s="6"/>
      <c r="D29" s="6"/>
      <c r="I29" s="6" t="s">
        <v>29</v>
      </c>
    </row>
    <row r="30" spans="1:11" ht="15">
      <c r="A30" t="s">
        <v>0</v>
      </c>
      <c r="C30" s="12">
        <f>+Sheet2!$F$19*Sheet2!D4</f>
        <v>2</v>
      </c>
      <c r="D30" s="12">
        <v>0</v>
      </c>
      <c r="E30" s="12">
        <f aca="true" t="shared" si="8" ref="E30:E36">SUM(C30:D30)</f>
        <v>2</v>
      </c>
      <c r="F30" s="12">
        <f>MIN(E30,$G$3)</f>
        <v>2</v>
      </c>
      <c r="G30" s="12">
        <f aca="true" t="shared" si="9" ref="G30:G36">IF(E30&lt;=F30,0,E30-F30)</f>
        <v>0</v>
      </c>
      <c r="I30">
        <f>+(F30*$G$5*(1-Sheet2!$G$19))+(F30*$G$6*Sheet2!$G$19)</f>
        <v>4.3</v>
      </c>
      <c r="K30" s="3" t="s">
        <v>80</v>
      </c>
    </row>
    <row r="31" spans="1:11" ht="15">
      <c r="A31" t="s">
        <v>1</v>
      </c>
      <c r="C31" s="12">
        <f>+Sheet2!$F$19*Sheet2!D5</f>
        <v>6</v>
      </c>
      <c r="D31" s="12">
        <f aca="true" t="shared" si="10" ref="D31:D36">+G30*$G$4</f>
        <v>0</v>
      </c>
      <c r="E31" s="12">
        <f t="shared" si="8"/>
        <v>6</v>
      </c>
      <c r="F31" s="12">
        <f aca="true" t="shared" si="11" ref="F31:F36">MIN(E31,$G$3)</f>
        <v>6</v>
      </c>
      <c r="G31" s="12">
        <f t="shared" si="9"/>
        <v>0</v>
      </c>
      <c r="I31">
        <f>+(F31*$G$5*(1-Sheet2!$G$19))+(F31*$G$6*Sheet2!$G$19)</f>
        <v>12.9</v>
      </c>
      <c r="K31" s="3" t="s">
        <v>80</v>
      </c>
    </row>
    <row r="32" spans="1:11" ht="15">
      <c r="A32" t="s">
        <v>2</v>
      </c>
      <c r="C32" s="12">
        <f>+Sheet2!$F$19*Sheet2!D6</f>
        <v>10</v>
      </c>
      <c r="D32" s="12">
        <f t="shared" si="10"/>
        <v>0</v>
      </c>
      <c r="E32" s="12">
        <f t="shared" si="8"/>
        <v>10</v>
      </c>
      <c r="F32" s="12">
        <f t="shared" si="11"/>
        <v>10</v>
      </c>
      <c r="G32" s="12">
        <f t="shared" si="9"/>
        <v>0</v>
      </c>
      <c r="I32">
        <f>+(F32*$G$5*(1-Sheet2!$G$19))+(F32*$G$6*Sheet2!$G$19)</f>
        <v>21.5</v>
      </c>
      <c r="K32" s="3" t="s">
        <v>80</v>
      </c>
    </row>
    <row r="33" spans="1:11" ht="15">
      <c r="A33" t="s">
        <v>3</v>
      </c>
      <c r="C33" s="12">
        <f>+Sheet2!$F$19*Sheet2!D7</f>
        <v>13</v>
      </c>
      <c r="D33" s="12">
        <f t="shared" si="10"/>
        <v>0</v>
      </c>
      <c r="E33" s="12">
        <f t="shared" si="8"/>
        <v>13</v>
      </c>
      <c r="F33" s="12">
        <f t="shared" si="11"/>
        <v>13</v>
      </c>
      <c r="G33" s="12">
        <f t="shared" si="9"/>
        <v>0</v>
      </c>
      <c r="I33">
        <f>+(F33*$G$5*(1-Sheet2!$G$19))+(F33*$G$6*Sheet2!$G$19)</f>
        <v>27.95</v>
      </c>
      <c r="K33" s="3" t="s">
        <v>80</v>
      </c>
    </row>
    <row r="34" spans="1:11" ht="15">
      <c r="A34" t="s">
        <v>4</v>
      </c>
      <c r="C34" s="12">
        <f>+Sheet2!$F$19*Sheet2!D8</f>
        <v>11</v>
      </c>
      <c r="D34" s="12">
        <f t="shared" si="10"/>
        <v>0</v>
      </c>
      <c r="E34" s="12">
        <f t="shared" si="8"/>
        <v>11</v>
      </c>
      <c r="F34" s="12">
        <f t="shared" si="11"/>
        <v>11</v>
      </c>
      <c r="G34" s="12">
        <f t="shared" si="9"/>
        <v>0</v>
      </c>
      <c r="I34">
        <f>+(F34*$G$5*(1-Sheet2!$G$19))+(F34*$G$6*Sheet2!$G$19)</f>
        <v>23.65</v>
      </c>
      <c r="K34" s="3" t="s">
        <v>80</v>
      </c>
    </row>
    <row r="35" spans="1:11" ht="15">
      <c r="A35" t="s">
        <v>5</v>
      </c>
      <c r="C35" s="12">
        <f>+Sheet2!$F$19*Sheet2!D9</f>
        <v>5</v>
      </c>
      <c r="D35" s="12">
        <f t="shared" si="10"/>
        <v>0</v>
      </c>
      <c r="E35" s="12">
        <f t="shared" si="8"/>
        <v>5</v>
      </c>
      <c r="F35" s="12">
        <f t="shared" si="11"/>
        <v>5</v>
      </c>
      <c r="G35" s="12">
        <f t="shared" si="9"/>
        <v>0</v>
      </c>
      <c r="I35">
        <f>+(F35*$G$5*(1-Sheet2!$G$19))+(F35*$G$6*Sheet2!$G$19)</f>
        <v>10.75</v>
      </c>
      <c r="K35" s="3" t="s">
        <v>80</v>
      </c>
    </row>
    <row r="36" spans="1:11" ht="15">
      <c r="A36" t="s">
        <v>6</v>
      </c>
      <c r="C36" s="12">
        <f>+Sheet2!$F$19*Sheet2!D10</f>
        <v>3</v>
      </c>
      <c r="D36" s="12">
        <f t="shared" si="10"/>
        <v>0</v>
      </c>
      <c r="E36" s="12">
        <f t="shared" si="8"/>
        <v>3</v>
      </c>
      <c r="F36" s="12">
        <f t="shared" si="11"/>
        <v>3</v>
      </c>
      <c r="G36" s="12">
        <f t="shared" si="9"/>
        <v>0</v>
      </c>
      <c r="I36">
        <f>+(F36*$G$5*(1-Sheet2!$G$19))+(F36*$G$6*Sheet2!$G$19)</f>
        <v>6.45</v>
      </c>
      <c r="K36" s="3" t="s">
        <v>80</v>
      </c>
    </row>
    <row r="37" spans="1:9" ht="15.75" thickBot="1">
      <c r="A37" s="3"/>
      <c r="F37" s="11">
        <f>SUM(F30:F36)</f>
        <v>50</v>
      </c>
      <c r="I37" s="11">
        <f>SUM(I30:I36)</f>
        <v>107.50000000000001</v>
      </c>
    </row>
    <row r="38" spans="1:9" ht="15.75" thickTop="1">
      <c r="A38" s="1" t="s">
        <v>12</v>
      </c>
      <c r="C38" s="6"/>
      <c r="D38" s="6"/>
      <c r="I38" s="6" t="s">
        <v>29</v>
      </c>
    </row>
    <row r="39" spans="1:11" ht="15">
      <c r="A39" t="s">
        <v>0</v>
      </c>
      <c r="C39" s="12">
        <f>+Sheet2!$F$21*Sheet2!D4</f>
        <v>1.2</v>
      </c>
      <c r="D39" s="12">
        <v>0</v>
      </c>
      <c r="E39" s="12">
        <f aca="true" t="shared" si="12" ref="E39:E45">SUM(C39:D39)</f>
        <v>1.2</v>
      </c>
      <c r="F39" s="12">
        <f>MIN(E39,$G$3)</f>
        <v>1.2</v>
      </c>
      <c r="G39" s="12">
        <f aca="true" t="shared" si="13" ref="G39:G45">IF(E39&lt;=F39,0,E39-F39)</f>
        <v>0</v>
      </c>
      <c r="I39">
        <f>+(F39*$G$5*(1-Sheet2!$G$21))+(F39*$G$6*Sheet2!$G$21)</f>
        <v>2.6399999999999997</v>
      </c>
      <c r="K39" s="3" t="s">
        <v>80</v>
      </c>
    </row>
    <row r="40" spans="1:11" ht="15">
      <c r="A40" t="s">
        <v>1</v>
      </c>
      <c r="C40" s="12">
        <f>+Sheet2!$F$21*Sheet2!D5</f>
        <v>3.5999999999999996</v>
      </c>
      <c r="D40" s="12">
        <f aca="true" t="shared" si="14" ref="D40:D45">+G39*$G$4</f>
        <v>0</v>
      </c>
      <c r="E40" s="12">
        <f t="shared" si="12"/>
        <v>3.5999999999999996</v>
      </c>
      <c r="F40" s="12">
        <f aca="true" t="shared" si="15" ref="F40:F45">MIN(E40,$G$3)</f>
        <v>3.5999999999999996</v>
      </c>
      <c r="G40" s="12">
        <f t="shared" si="13"/>
        <v>0</v>
      </c>
      <c r="I40">
        <f>+(F40*$G$5*(1-Sheet2!$G$21))+(F40*$G$6*Sheet2!$G$21)</f>
        <v>7.92</v>
      </c>
      <c r="K40" s="3" t="s">
        <v>80</v>
      </c>
    </row>
    <row r="41" spans="1:11" ht="15">
      <c r="A41" t="s">
        <v>2</v>
      </c>
      <c r="C41" s="12">
        <f>+Sheet2!$F$21*Sheet2!D6</f>
        <v>6</v>
      </c>
      <c r="D41" s="12">
        <f t="shared" si="14"/>
        <v>0</v>
      </c>
      <c r="E41" s="12">
        <f t="shared" si="12"/>
        <v>6</v>
      </c>
      <c r="F41" s="12">
        <f t="shared" si="15"/>
        <v>6</v>
      </c>
      <c r="G41" s="12">
        <f t="shared" si="13"/>
        <v>0</v>
      </c>
      <c r="I41">
        <f>+(F41*$G$5*(1-Sheet2!$G$21))+(F41*$G$6*Sheet2!$G$21)</f>
        <v>13.2</v>
      </c>
      <c r="K41" s="3" t="s">
        <v>80</v>
      </c>
    </row>
    <row r="42" spans="1:11" ht="15">
      <c r="A42" t="s">
        <v>3</v>
      </c>
      <c r="C42" s="12">
        <f>+Sheet2!$F$21*Sheet2!D7</f>
        <v>7.800000000000001</v>
      </c>
      <c r="D42" s="12">
        <f t="shared" si="14"/>
        <v>0</v>
      </c>
      <c r="E42" s="12">
        <f t="shared" si="12"/>
        <v>7.800000000000001</v>
      </c>
      <c r="F42" s="12">
        <f t="shared" si="15"/>
        <v>7.800000000000001</v>
      </c>
      <c r="G42" s="12">
        <f t="shared" si="13"/>
        <v>0</v>
      </c>
      <c r="I42">
        <f>+(F42*$G$5*(1-Sheet2!$G$21))+(F42*$G$6*Sheet2!$G$21)</f>
        <v>17.16</v>
      </c>
      <c r="K42" s="3" t="s">
        <v>80</v>
      </c>
    </row>
    <row r="43" spans="1:11" ht="15">
      <c r="A43" t="s">
        <v>4</v>
      </c>
      <c r="C43" s="12">
        <f>+Sheet2!$F$21*Sheet2!D8</f>
        <v>6.6</v>
      </c>
      <c r="D43" s="12">
        <f t="shared" si="14"/>
        <v>0</v>
      </c>
      <c r="E43" s="12">
        <f t="shared" si="12"/>
        <v>6.6</v>
      </c>
      <c r="F43" s="12">
        <f t="shared" si="15"/>
        <v>6.6</v>
      </c>
      <c r="G43" s="12">
        <f t="shared" si="13"/>
        <v>0</v>
      </c>
      <c r="I43">
        <f>+(F43*$G$5*(1-Sheet2!$G$21))+(F43*$G$6*Sheet2!$G$21)</f>
        <v>14.519999999999998</v>
      </c>
      <c r="K43" s="3" t="s">
        <v>80</v>
      </c>
    </row>
    <row r="44" spans="1:11" ht="15">
      <c r="A44" t="s">
        <v>5</v>
      </c>
      <c r="C44" s="12">
        <f>+Sheet2!$F$21*Sheet2!D9</f>
        <v>3</v>
      </c>
      <c r="D44" s="12">
        <f t="shared" si="14"/>
        <v>0</v>
      </c>
      <c r="E44" s="12">
        <f t="shared" si="12"/>
        <v>3</v>
      </c>
      <c r="F44" s="12">
        <f t="shared" si="15"/>
        <v>3</v>
      </c>
      <c r="G44" s="12">
        <f t="shared" si="13"/>
        <v>0</v>
      </c>
      <c r="I44">
        <f>+(F44*$G$5*(1-Sheet2!$G$21))+(F44*$G$6*Sheet2!$G$21)</f>
        <v>6.6</v>
      </c>
      <c r="K44" s="3" t="s">
        <v>80</v>
      </c>
    </row>
    <row r="45" spans="1:11" ht="15">
      <c r="A45" t="s">
        <v>6</v>
      </c>
      <c r="C45" s="12">
        <f>+Sheet2!$F$21*Sheet2!D10</f>
        <v>1.7999999999999998</v>
      </c>
      <c r="D45" s="12">
        <f t="shared" si="14"/>
        <v>0</v>
      </c>
      <c r="E45" s="12">
        <f t="shared" si="12"/>
        <v>1.7999999999999998</v>
      </c>
      <c r="F45" s="12">
        <f t="shared" si="15"/>
        <v>1.7999999999999998</v>
      </c>
      <c r="G45" s="12">
        <f t="shared" si="13"/>
        <v>0</v>
      </c>
      <c r="I45">
        <f>+(F45*$G$5*(1-Sheet2!$G$21))+(F45*$G$6*Sheet2!$G$21)</f>
        <v>3.96</v>
      </c>
      <c r="K45" s="3" t="s">
        <v>80</v>
      </c>
    </row>
    <row r="46" spans="1:9" ht="15.75" thickBot="1">
      <c r="A46" s="3"/>
      <c r="F46" s="11">
        <f>SUM(F39:F45)</f>
        <v>30.000000000000004</v>
      </c>
      <c r="I46" s="11">
        <f>SUM(I39:I45)</f>
        <v>66</v>
      </c>
    </row>
    <row r="47" ht="15.75" thickTop="1"/>
    <row r="48" ht="15">
      <c r="A48" s="2" t="s">
        <v>27</v>
      </c>
    </row>
    <row r="49" spans="2:9" ht="15">
      <c r="B49" s="16" t="s">
        <v>18</v>
      </c>
      <c r="D49" s="6"/>
      <c r="E49" s="6" t="s">
        <v>26</v>
      </c>
      <c r="I49" s="7" t="s">
        <v>81</v>
      </c>
    </row>
    <row r="50" spans="4:10" ht="15">
      <c r="D50" s="6" t="s">
        <v>28</v>
      </c>
      <c r="E50" s="6" t="s">
        <v>25</v>
      </c>
      <c r="I50" s="6" t="s">
        <v>25</v>
      </c>
      <c r="J50" s="6" t="s">
        <v>30</v>
      </c>
    </row>
    <row r="51" spans="4:10" ht="15">
      <c r="D51" s="6"/>
      <c r="E51" s="6" t="s">
        <v>29</v>
      </c>
      <c r="I51" s="6" t="s">
        <v>29</v>
      </c>
      <c r="J51" s="6" t="s">
        <v>29</v>
      </c>
    </row>
    <row r="52" spans="2:11" ht="15">
      <c r="B52" t="s">
        <v>7</v>
      </c>
      <c r="D52" s="5">
        <f>+Sheet2!$D$15</f>
        <v>79</v>
      </c>
      <c r="E52" s="14">
        <f>+I19</f>
        <v>259.0872</v>
      </c>
      <c r="I52" s="5">
        <f>+E52*D52</f>
        <v>20467.8888</v>
      </c>
      <c r="K52" s="3" t="s">
        <v>78</v>
      </c>
    </row>
    <row r="53" spans="2:11" ht="15">
      <c r="B53" t="s">
        <v>8</v>
      </c>
      <c r="D53" s="5">
        <f>+Sheet2!$D$17</f>
        <v>30</v>
      </c>
      <c r="E53" s="14">
        <f>+I28</f>
        <v>236.2752</v>
      </c>
      <c r="I53" s="5">
        <f>+E53*D53</f>
        <v>7088.256</v>
      </c>
      <c r="K53" s="3" t="s">
        <v>78</v>
      </c>
    </row>
    <row r="54" spans="2:11" ht="15">
      <c r="B54" t="s">
        <v>9</v>
      </c>
      <c r="D54" s="5">
        <f>+Sheet2!$D$19</f>
        <v>49</v>
      </c>
      <c r="E54" s="14">
        <f>+I37</f>
        <v>107.50000000000001</v>
      </c>
      <c r="I54" s="5">
        <f>+E54*D54</f>
        <v>5267.500000000001</v>
      </c>
      <c r="K54" s="3" t="s">
        <v>78</v>
      </c>
    </row>
    <row r="55" spans="2:11" ht="15">
      <c r="B55" t="s">
        <v>12</v>
      </c>
      <c r="D55" s="5">
        <f>+Sheet2!$D$21</f>
        <v>190</v>
      </c>
      <c r="E55" s="14">
        <f>+I46</f>
        <v>66</v>
      </c>
      <c r="I55" s="15">
        <f>+E55*D55</f>
        <v>12540</v>
      </c>
      <c r="K55" s="3" t="s">
        <v>78</v>
      </c>
    </row>
    <row r="56" spans="4:10" ht="15">
      <c r="D56" s="20">
        <f>SUM(D52:D55)</f>
        <v>348</v>
      </c>
      <c r="I56" s="19"/>
      <c r="J56" s="5">
        <f>SUM(I52:I55)</f>
        <v>45363.6448</v>
      </c>
    </row>
    <row r="57" spans="5:9" ht="15">
      <c r="E57" s="7" t="s">
        <v>70</v>
      </c>
      <c r="F57" t="s">
        <v>71</v>
      </c>
      <c r="I57" s="6" t="s">
        <v>73</v>
      </c>
    </row>
    <row r="58" spans="2:9" ht="15">
      <c r="B58" s="16" t="s">
        <v>34</v>
      </c>
      <c r="D58" s="6" t="s">
        <v>28</v>
      </c>
      <c r="E58" s="6" t="s">
        <v>69</v>
      </c>
      <c r="F58" t="s">
        <v>72</v>
      </c>
      <c r="G58" s="6" t="s">
        <v>35</v>
      </c>
      <c r="H58" s="6" t="s">
        <v>37</v>
      </c>
      <c r="I58" s="6" t="s">
        <v>74</v>
      </c>
    </row>
    <row r="59" spans="6:10" ht="15">
      <c r="F59" s="6" t="s">
        <v>29</v>
      </c>
      <c r="G59" s="6" t="s">
        <v>29</v>
      </c>
      <c r="I59" s="6" t="s">
        <v>29</v>
      </c>
      <c r="J59" s="5"/>
    </row>
    <row r="60" spans="2:11" ht="15">
      <c r="B60" t="s">
        <v>7</v>
      </c>
      <c r="D60" s="5">
        <f>+Sheet2!$D$15</f>
        <v>79</v>
      </c>
      <c r="E60">
        <f>+F19</f>
        <v>126.384</v>
      </c>
      <c r="F60">
        <v>1</v>
      </c>
      <c r="G60" s="5">
        <f>+F19*D60</f>
        <v>9984.336</v>
      </c>
      <c r="H60" s="18">
        <f>+$G$7</f>
        <v>0.45</v>
      </c>
      <c r="I60" s="5">
        <f>+G60*H60</f>
        <v>4492.9511999999995</v>
      </c>
      <c r="K60" s="3" t="s">
        <v>78</v>
      </c>
    </row>
    <row r="61" spans="2:11" ht="15">
      <c r="B61" t="s">
        <v>8</v>
      </c>
      <c r="D61" s="5">
        <f>+Sheet2!$D$17</f>
        <v>30</v>
      </c>
      <c r="E61">
        <f>+F28</f>
        <v>112.512</v>
      </c>
      <c r="F61">
        <v>1</v>
      </c>
      <c r="G61" s="5">
        <f>+D61*F28</f>
        <v>3375.36</v>
      </c>
      <c r="H61" s="18">
        <f>+$G$7</f>
        <v>0.45</v>
      </c>
      <c r="I61" s="5">
        <f>+G61*H61</f>
        <v>1518.912</v>
      </c>
      <c r="K61" s="3" t="s">
        <v>78</v>
      </c>
    </row>
    <row r="62" spans="2:11" ht="15">
      <c r="B62" t="s">
        <v>9</v>
      </c>
      <c r="D62" s="5">
        <f>+Sheet2!$D$19</f>
        <v>49</v>
      </c>
      <c r="E62">
        <f>+F37</f>
        <v>50</v>
      </c>
      <c r="F62">
        <v>1</v>
      </c>
      <c r="G62" s="5">
        <f>+D62*F37</f>
        <v>2450</v>
      </c>
      <c r="H62" s="18">
        <f>+$G$7</f>
        <v>0.45</v>
      </c>
      <c r="I62" s="5">
        <f>+G62*H62</f>
        <v>1102.5</v>
      </c>
      <c r="K62" s="3" t="s">
        <v>78</v>
      </c>
    </row>
    <row r="63" spans="2:11" ht="15">
      <c r="B63" t="s">
        <v>12</v>
      </c>
      <c r="D63" s="5">
        <f>+Sheet2!$D$21</f>
        <v>190</v>
      </c>
      <c r="E63">
        <f>+F46</f>
        <v>30.000000000000004</v>
      </c>
      <c r="F63">
        <v>1</v>
      </c>
      <c r="G63" s="15">
        <f>+D63*F46</f>
        <v>5700.000000000001</v>
      </c>
      <c r="H63" s="18">
        <f>+$G$7</f>
        <v>0.45</v>
      </c>
      <c r="I63" s="15">
        <f>+G63*H63</f>
        <v>2565.0000000000005</v>
      </c>
      <c r="K63" s="3" t="s">
        <v>78</v>
      </c>
    </row>
    <row r="64" spans="7:13" ht="15.75" thickBot="1">
      <c r="G64" s="8">
        <f>ROUNDDOWN(L64,0)</f>
        <v>21509</v>
      </c>
      <c r="J64" s="5">
        <f>ROUNDUP(M64,0)</f>
        <v>9680</v>
      </c>
      <c r="L64" s="8">
        <f>SUM(G60:G63)</f>
        <v>21509.696</v>
      </c>
      <c r="M64" s="5">
        <f>SUM(I60:I63)</f>
        <v>9679.3632</v>
      </c>
    </row>
    <row r="65" spans="1:11" ht="15.75" thickTop="1">
      <c r="A65" s="16" t="s">
        <v>31</v>
      </c>
      <c r="B65" t="s">
        <v>32</v>
      </c>
      <c r="J65" s="5">
        <v>25000</v>
      </c>
      <c r="K65" s="3" t="s">
        <v>79</v>
      </c>
    </row>
    <row r="66" spans="1:10" ht="15.75" thickBot="1">
      <c r="A66" s="3"/>
      <c r="B66" t="s">
        <v>33</v>
      </c>
      <c r="I66" s="17"/>
      <c r="J66" s="8">
        <f>SUM(J52:J65)</f>
        <v>80043.64480000001</v>
      </c>
    </row>
    <row r="67" spans="1:11" ht="15.75" thickTop="1">
      <c r="A67" s="1" t="s">
        <v>68</v>
      </c>
      <c r="J67" s="24" t="s">
        <v>75</v>
      </c>
      <c r="K67" s="24"/>
    </row>
    <row r="68" spans="1:8" ht="15">
      <c r="A68" s="2" t="s">
        <v>52</v>
      </c>
      <c r="F68" s="6" t="s">
        <v>29</v>
      </c>
      <c r="G68" s="6" t="s">
        <v>29</v>
      </c>
      <c r="H68" s="6" t="s">
        <v>29</v>
      </c>
    </row>
    <row r="69" ht="15">
      <c r="A69" t="s">
        <v>50</v>
      </c>
    </row>
    <row r="70" spans="1:11" ht="18">
      <c r="A70" s="16" t="s">
        <v>41</v>
      </c>
      <c r="E70" t="s">
        <v>40</v>
      </c>
      <c r="H70" s="5">
        <f>+(227000*(1.05^7))/(((1.05^7)-1)/0.05)</f>
        <v>39230.098787280745</v>
      </c>
      <c r="J70" s="3" t="s">
        <v>82</v>
      </c>
      <c r="K70" s="3"/>
    </row>
    <row r="71" ht="18">
      <c r="A71" t="s">
        <v>42</v>
      </c>
    </row>
    <row r="73" ht="15">
      <c r="A73" t="s">
        <v>43</v>
      </c>
    </row>
    <row r="74" spans="1:11" ht="15">
      <c r="A74" t="s">
        <v>44</v>
      </c>
      <c r="F74" s="5">
        <v>24568</v>
      </c>
      <c r="J74" s="3" t="s">
        <v>78</v>
      </c>
      <c r="K74" s="3"/>
    </row>
    <row r="75" spans="1:11" ht="15">
      <c r="A75" s="16" t="s">
        <v>45</v>
      </c>
      <c r="B75" t="s">
        <v>46</v>
      </c>
      <c r="F75" s="15">
        <f>+F74*0.17</f>
        <v>4176.56</v>
      </c>
      <c r="J75" s="3" t="s">
        <v>78</v>
      </c>
      <c r="K75" s="3"/>
    </row>
    <row r="76" ht="15">
      <c r="G76" s="19">
        <f>SUM(F73:F75)</f>
        <v>28744.56</v>
      </c>
    </row>
    <row r="77" spans="1:11" ht="15">
      <c r="A77" t="s">
        <v>47</v>
      </c>
      <c r="F77" s="5">
        <f>2*18744</f>
        <v>37488</v>
      </c>
      <c r="G77" s="17"/>
      <c r="J77" s="3" t="s">
        <v>78</v>
      </c>
      <c r="K77" s="3"/>
    </row>
    <row r="78" spans="1:11" ht="15">
      <c r="A78" s="16" t="s">
        <v>45</v>
      </c>
      <c r="B78" t="s">
        <v>46</v>
      </c>
      <c r="F78" s="15">
        <f>+F77*0.17</f>
        <v>6372.96</v>
      </c>
      <c r="G78" s="17"/>
      <c r="J78" s="3" t="s">
        <v>78</v>
      </c>
      <c r="K78" s="3"/>
    </row>
    <row r="79" ht="15">
      <c r="G79" s="15">
        <f>SUM(F77:F78)</f>
        <v>43860.96</v>
      </c>
    </row>
    <row r="80" spans="1:8" ht="15">
      <c r="A80" t="s">
        <v>85</v>
      </c>
      <c r="H80" s="5">
        <f>SUM(G79,G76)</f>
        <v>72605.52</v>
      </c>
    </row>
    <row r="81" spans="1:11" ht="15">
      <c r="A81" t="s">
        <v>48</v>
      </c>
      <c r="H81" s="5">
        <v>1250</v>
      </c>
      <c r="J81" s="3" t="s">
        <v>78</v>
      </c>
      <c r="K81" s="3"/>
    </row>
    <row r="82" spans="1:11" ht="15">
      <c r="A82" t="s">
        <v>54</v>
      </c>
      <c r="H82" s="5">
        <f>+(L64+J56)*0.35*0.02</f>
        <v>468.1133856000001</v>
      </c>
      <c r="J82" s="3" t="s">
        <v>87</v>
      </c>
      <c r="K82" s="3"/>
    </row>
    <row r="83" spans="1:11" ht="15">
      <c r="A83" t="s">
        <v>49</v>
      </c>
      <c r="H83" s="15">
        <v>12500</v>
      </c>
      <c r="J83" s="3" t="s">
        <v>76</v>
      </c>
      <c r="K83" s="3"/>
    </row>
    <row r="84" spans="1:8" ht="15">
      <c r="A84" t="s">
        <v>83</v>
      </c>
      <c r="H84" s="5">
        <f>SUM(H69:H83)</f>
        <v>126053.73217288074</v>
      </c>
    </row>
    <row r="86" spans="1:10" ht="15">
      <c r="A86" t="s">
        <v>84</v>
      </c>
      <c r="H86" s="19">
        <f>+J66</f>
        <v>80043.64480000001</v>
      </c>
      <c r="J86" t="s">
        <v>88</v>
      </c>
    </row>
    <row r="87" spans="1:8" ht="15.75" thickBot="1">
      <c r="A87" s="4" t="s">
        <v>51</v>
      </c>
      <c r="H87" s="8">
        <f>+H86-H84</f>
        <v>-46010.087372880735</v>
      </c>
    </row>
    <row r="88" ht="15.75" thickTop="1"/>
    <row r="89" ht="15">
      <c r="A89" s="1" t="s">
        <v>55</v>
      </c>
    </row>
    <row r="90" spans="6:7" ht="15">
      <c r="F90" s="6" t="s">
        <v>29</v>
      </c>
      <c r="G90" s="6" t="s">
        <v>29</v>
      </c>
    </row>
    <row r="91" ht="15">
      <c r="A91" s="16" t="s">
        <v>67</v>
      </c>
    </row>
    <row r="92" spans="2:6" ht="15">
      <c r="B92" t="s">
        <v>56</v>
      </c>
      <c r="F92" s="5">
        <f>+E55*168</f>
        <v>11088</v>
      </c>
    </row>
    <row r="93" spans="2:6" ht="15">
      <c r="B93" t="s">
        <v>57</v>
      </c>
      <c r="F93" s="15">
        <f>+F46*168*0.45</f>
        <v>2268.0000000000005</v>
      </c>
    </row>
    <row r="94" ht="15">
      <c r="G94" s="5">
        <f>-SUM(F92:F93)</f>
        <v>-13356</v>
      </c>
    </row>
    <row r="95" ht="15">
      <c r="A95" s="7" t="s">
        <v>58</v>
      </c>
    </row>
    <row r="96" spans="2:6" ht="15">
      <c r="B96" t="s">
        <v>59</v>
      </c>
      <c r="F96" s="5">
        <f>0.5*H80</f>
        <v>36302.76</v>
      </c>
    </row>
    <row r="97" spans="2:6" ht="15">
      <c r="B97" t="s">
        <v>60</v>
      </c>
      <c r="F97" s="5">
        <f>+H83*0.4</f>
        <v>5000</v>
      </c>
    </row>
    <row r="98" spans="2:6" ht="15">
      <c r="B98" t="s">
        <v>61</v>
      </c>
      <c r="F98" s="15">
        <f>+(F46+I46)*168*0.35*0.02</f>
        <v>112.89599999999999</v>
      </c>
    </row>
    <row r="99" ht="15">
      <c r="G99" s="15">
        <f>SUM(F96:F98)</f>
        <v>41415.656</v>
      </c>
    </row>
    <row r="100" ht="15">
      <c r="H100" s="5">
        <f>SUM(G94:G99)</f>
        <v>28059.656000000003</v>
      </c>
    </row>
    <row r="101" spans="1:8" ht="15">
      <c r="A101" s="16"/>
      <c r="B101" t="s">
        <v>66</v>
      </c>
      <c r="H101" s="5">
        <f>+H87</f>
        <v>-46010.087372880735</v>
      </c>
    </row>
    <row r="102" spans="2:8" ht="15.75" thickBot="1">
      <c r="B102" t="s">
        <v>86</v>
      </c>
      <c r="H102" s="8">
        <f>SUM(H100:H101)</f>
        <v>-17950.431372880732</v>
      </c>
    </row>
    <row r="103" ht="15.75" thickTop="1"/>
    <row r="104" ht="15">
      <c r="A104" s="1" t="s">
        <v>62</v>
      </c>
    </row>
    <row r="105" spans="1:2" ht="15">
      <c r="A105" s="1"/>
      <c r="B105" t="s">
        <v>65</v>
      </c>
    </row>
    <row r="106" spans="2:8" ht="15.75" thickBot="1">
      <c r="B106" t="s">
        <v>64</v>
      </c>
      <c r="F106" s="22">
        <f>-+H87</f>
        <v>46010.087372880735</v>
      </c>
      <c r="G106" s="3" t="s">
        <v>40</v>
      </c>
      <c r="H106" s="21">
        <f>+F106/F107</f>
        <v>0.5748124974548976</v>
      </c>
    </row>
    <row r="107" spans="2:6" ht="15.75" thickTop="1">
      <c r="B107" t="s">
        <v>63</v>
      </c>
      <c r="F107" s="23">
        <f>+J66</f>
        <v>80043.64480000001</v>
      </c>
    </row>
  </sheetData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32"/>
  <sheetViews>
    <sheetView workbookViewId="0" topLeftCell="A7">
      <selection activeCell="F15" sqref="F15"/>
    </sheetView>
  </sheetViews>
  <sheetFormatPr defaultColWidth="9.140625" defaultRowHeight="15"/>
  <cols>
    <col min="1" max="16384" width="8.00390625" style="0" customWidth="1"/>
  </cols>
  <sheetData>
    <row r="3" ht="15">
      <c r="D3" s="7"/>
    </row>
    <row r="4" spans="2:4" ht="15">
      <c r="B4" t="s">
        <v>0</v>
      </c>
      <c r="D4" s="9">
        <v>0.04</v>
      </c>
    </row>
    <row r="5" spans="2:4" ht="15">
      <c r="B5" t="s">
        <v>1</v>
      </c>
      <c r="D5" s="9">
        <v>0.12</v>
      </c>
    </row>
    <row r="6" spans="2:4" ht="15">
      <c r="B6" t="s">
        <v>2</v>
      </c>
      <c r="D6" s="9">
        <v>0.2</v>
      </c>
    </row>
    <row r="7" spans="2:4" ht="15">
      <c r="B7" t="s">
        <v>3</v>
      </c>
      <c r="D7" s="9">
        <v>0.26</v>
      </c>
    </row>
    <row r="8" spans="2:4" ht="15">
      <c r="B8" t="s">
        <v>4</v>
      </c>
      <c r="D8" s="9">
        <v>0.22</v>
      </c>
    </row>
    <row r="9" spans="2:4" ht="15">
      <c r="B9" t="s">
        <v>5</v>
      </c>
      <c r="D9" s="9">
        <v>0.1</v>
      </c>
    </row>
    <row r="10" spans="2:4" ht="15">
      <c r="B10" t="s">
        <v>6</v>
      </c>
      <c r="D10" s="9">
        <v>0.06</v>
      </c>
    </row>
    <row r="11" ht="15.75" thickBot="1">
      <c r="D11" s="13">
        <f>SUM(D4:D10)</f>
        <v>1</v>
      </c>
    </row>
    <row r="12" ht="15.75" thickTop="1">
      <c r="D12" s="5"/>
    </row>
    <row r="13" spans="4:7" ht="15">
      <c r="D13" s="5"/>
      <c r="F13" s="6" t="s">
        <v>15</v>
      </c>
      <c r="G13" s="6" t="s">
        <v>17</v>
      </c>
    </row>
    <row r="14" spans="4:7" ht="15">
      <c r="D14" s="5"/>
      <c r="F14" s="6" t="s">
        <v>16</v>
      </c>
      <c r="G14" s="6"/>
    </row>
    <row r="15" spans="2:8" ht="15">
      <c r="B15" t="s">
        <v>7</v>
      </c>
      <c r="D15" s="5">
        <f>34+45</f>
        <v>79</v>
      </c>
      <c r="F15" s="5">
        <v>150</v>
      </c>
      <c r="G15" s="9">
        <v>0.45</v>
      </c>
      <c r="H15" t="s">
        <v>10</v>
      </c>
    </row>
    <row r="16" spans="4:7" ht="15">
      <c r="D16" s="5"/>
      <c r="F16" s="5"/>
      <c r="G16" s="9"/>
    </row>
    <row r="17" spans="2:8" ht="15">
      <c r="B17" t="s">
        <v>8</v>
      </c>
      <c r="D17" s="5">
        <v>30</v>
      </c>
      <c r="F17" s="5">
        <v>120</v>
      </c>
      <c r="G17" s="9">
        <v>0.4</v>
      </c>
      <c r="H17" t="s">
        <v>11</v>
      </c>
    </row>
    <row r="18" spans="4:7" ht="15">
      <c r="D18" s="5"/>
      <c r="F18" s="5"/>
      <c r="G18" s="9"/>
    </row>
    <row r="19" spans="2:8" ht="15">
      <c r="B19" t="s">
        <v>9</v>
      </c>
      <c r="D19" s="5">
        <f>34+15</f>
        <v>49</v>
      </c>
      <c r="F19" s="5">
        <v>50</v>
      </c>
      <c r="G19" s="9">
        <v>0.35</v>
      </c>
      <c r="H19" t="s">
        <v>13</v>
      </c>
    </row>
    <row r="20" spans="6:7" ht="15">
      <c r="F20" s="5"/>
      <c r="G20" s="9"/>
    </row>
    <row r="21" spans="2:8" ht="15">
      <c r="B21" t="s">
        <v>12</v>
      </c>
      <c r="D21" s="5">
        <f>38*5</f>
        <v>190</v>
      </c>
      <c r="F21" s="5">
        <v>30</v>
      </c>
      <c r="G21" s="9">
        <v>0.3</v>
      </c>
      <c r="H21" t="s">
        <v>14</v>
      </c>
    </row>
    <row r="23" ht="15">
      <c r="D23" s="5">
        <f>SUM(D15:D22)</f>
        <v>348</v>
      </c>
    </row>
    <row r="25" ht="15">
      <c r="D25" t="s">
        <v>53</v>
      </c>
    </row>
    <row r="26" spans="2:4" ht="15">
      <c r="B26" t="s">
        <v>7</v>
      </c>
      <c r="D26" s="9">
        <v>0.45</v>
      </c>
    </row>
    <row r="27" ht="15">
      <c r="D27" s="9"/>
    </row>
    <row r="28" spans="2:4" ht="15">
      <c r="B28" t="s">
        <v>8</v>
      </c>
      <c r="D28" s="9">
        <v>0.4</v>
      </c>
    </row>
    <row r="29" ht="15">
      <c r="D29" s="9"/>
    </row>
    <row r="30" spans="2:4" ht="15">
      <c r="B30" t="s">
        <v>9</v>
      </c>
      <c r="D30" s="9">
        <v>0.35</v>
      </c>
    </row>
    <row r="31" ht="15">
      <c r="D31" s="9"/>
    </row>
    <row r="32" spans="2:4" ht="15">
      <c r="B32" t="s">
        <v>12</v>
      </c>
      <c r="D32" s="9">
        <v>0.3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cip083</cp:lastModifiedBy>
  <cp:lastPrinted>2003-10-17T13:17:08Z</cp:lastPrinted>
  <dcterms:created xsi:type="dcterms:W3CDTF">2001-01-07T15:01:05Z</dcterms:created>
  <dcterms:modified xsi:type="dcterms:W3CDTF">2004-02-02T11:28:05Z</dcterms:modified>
  <cp:category/>
  <cp:version/>
  <cp:contentType/>
  <cp:contentStatus/>
</cp:coreProperties>
</file>