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ppendix 3" sheetId="1" r:id="rId1"/>
  </sheets>
  <definedNames/>
  <calcPr fullCalcOnLoad="1"/>
</workbook>
</file>

<file path=xl/sharedStrings.xml><?xml version="1.0" encoding="utf-8"?>
<sst xmlns="http://schemas.openxmlformats.org/spreadsheetml/2006/main" count="386" uniqueCount="173">
  <si>
    <t>Oncosts</t>
  </si>
  <si>
    <t>Total</t>
  </si>
  <si>
    <t>£</t>
  </si>
  <si>
    <t>Central Support Costs</t>
  </si>
  <si>
    <t>-</t>
  </si>
  <si>
    <t>Page</t>
  </si>
  <si>
    <t>2005</t>
  </si>
  <si>
    <t>@</t>
  </si>
  <si>
    <t>Costs</t>
  </si>
  <si>
    <t>Revised</t>
  </si>
  <si>
    <t>Expenditure</t>
  </si>
  <si>
    <t>Manager</t>
  </si>
  <si>
    <t>Senior Driver/Loader</t>
  </si>
  <si>
    <t>Driver/Loader</t>
  </si>
  <si>
    <t>Transport</t>
  </si>
  <si>
    <t>Vans - Running Costs</t>
  </si>
  <si>
    <t>Premises</t>
  </si>
  <si>
    <t>Rent &amp; Rates</t>
  </si>
  <si>
    <t>Rent &amp; Rates (clinic site)</t>
  </si>
  <si>
    <t>Supplies</t>
  </si>
  <si>
    <t>Telephones</t>
  </si>
  <si>
    <t xml:space="preserve">Stationery, Printing etc. </t>
  </si>
  <si>
    <t>Budget</t>
  </si>
  <si>
    <t>EPO</t>
  </si>
  <si>
    <t>Other</t>
  </si>
  <si>
    <t>Time sheet</t>
  </si>
  <si>
    <t>Floor area</t>
  </si>
  <si>
    <t>Floor area (double weight EPO)</t>
  </si>
  <si>
    <t>General o/h</t>
  </si>
  <si>
    <t>General Overheads</t>
  </si>
  <si>
    <t>Units</t>
  </si>
  <si>
    <t>Cost per pack (and Selling Price)</t>
  </si>
  <si>
    <t>1 litre</t>
  </si>
  <si>
    <t>1000 units</t>
  </si>
  <si>
    <t>Dialysate &amp; Other</t>
  </si>
  <si>
    <t>Purchase price per pack</t>
  </si>
  <si>
    <t>Staff Travelling</t>
  </si>
  <si>
    <t>APPENDIX 3A</t>
  </si>
  <si>
    <t>Staffing</t>
  </si>
  <si>
    <t>Total area</t>
  </si>
  <si>
    <t>Store area</t>
  </si>
  <si>
    <t>=</t>
  </si>
  <si>
    <t>sq feet</t>
  </si>
  <si>
    <t>line</t>
  </si>
  <si>
    <t>1/10</t>
  </si>
  <si>
    <t>Total telephones</t>
  </si>
  <si>
    <t>lines</t>
  </si>
  <si>
    <t>Store</t>
  </si>
  <si>
    <t>Central Support</t>
  </si>
  <si>
    <t>2.  Expenditure  - Revised</t>
  </si>
  <si>
    <t>Base Expenditure</t>
  </si>
  <si>
    <t>per Store Manager</t>
  </si>
  <si>
    <t>Additions</t>
  </si>
  <si>
    <t>Salaries oncost</t>
  </si>
  <si>
    <t>Other Premises</t>
  </si>
  <si>
    <t>Total purchase costs</t>
  </si>
  <si>
    <t xml:space="preserve">Oncost </t>
  </si>
  <si>
    <t>3.  Pricing Comparison</t>
  </si>
  <si>
    <t>Fluids</t>
  </si>
  <si>
    <t>Price per Unit</t>
  </si>
  <si>
    <t>Unit Volumes</t>
  </si>
  <si>
    <t>Cost of Units</t>
  </si>
  <si>
    <t>Purchase cost per unit</t>
  </si>
  <si>
    <t>APPENDIX 3B</t>
  </si>
  <si>
    <t>Basis of Allocation</t>
  </si>
  <si>
    <t>Other premises</t>
  </si>
  <si>
    <t>Less current peppercorn charge</t>
  </si>
  <si>
    <t>Balance pro rata to expenditure</t>
  </si>
  <si>
    <t>2.  Pricing Comparison</t>
  </si>
  <si>
    <t>1/5</t>
  </si>
  <si>
    <t>Annual requirement</t>
  </si>
  <si>
    <t>units</t>
  </si>
  <si>
    <t>packs</t>
  </si>
  <si>
    <t>Cost of order</t>
  </si>
  <si>
    <t>per order</t>
  </si>
  <si>
    <t>Ch</t>
  </si>
  <si>
    <t>per annum</t>
  </si>
  <si>
    <t>EOQ</t>
  </si>
  <si>
    <t>2 x Co x R</t>
  </si>
  <si>
    <t>x</t>
  </si>
  <si>
    <t>Orders</t>
  </si>
  <si>
    <t>Minimum holding</t>
  </si>
  <si>
    <t>week</t>
  </si>
  <si>
    <t>Large order discount</t>
  </si>
  <si>
    <t>Saving</t>
  </si>
  <si>
    <t>per pack</t>
  </si>
  <si>
    <t>1%</t>
  </si>
  <si>
    <t>Assumptions</t>
  </si>
  <si>
    <t>Packs =</t>
  </si>
  <si>
    <t>Delivery cost (p)</t>
  </si>
  <si>
    <t>on orders over 12,500 units</t>
  </si>
  <si>
    <t xml:space="preserve">     Supply</t>
  </si>
  <si>
    <t xml:space="preserve">     Quantity</t>
  </si>
  <si>
    <t xml:space="preserve">     Number placed</t>
  </si>
  <si>
    <t xml:space="preserve">     Order quantity</t>
  </si>
  <si>
    <t>Holding cost (£)</t>
  </si>
  <si>
    <t>Order administration charge (£)</t>
  </si>
  <si>
    <t>per pack per annum</t>
  </si>
  <si>
    <t>Administration charge</t>
  </si>
  <si>
    <t>Delivery</t>
  </si>
  <si>
    <t>Economic Order Quantity (EOQ)</t>
  </si>
  <si>
    <t>EOQ =</t>
  </si>
  <si>
    <t>Therefore orders =</t>
  </si>
  <si>
    <t>orders per annum</t>
  </si>
  <si>
    <t>Basis</t>
  </si>
  <si>
    <t>Order costs</t>
  </si>
  <si>
    <t>Holding costs</t>
  </si>
  <si>
    <t xml:space="preserve">     Minimum holding</t>
  </si>
  <si>
    <t xml:space="preserve">     Orders</t>
  </si>
  <si>
    <t>per delivery</t>
  </si>
  <si>
    <t>Supply costs</t>
  </si>
  <si>
    <t>QUESTION 3</t>
  </si>
  <si>
    <t>APPENDIX 3C</t>
  </si>
  <si>
    <t>Oncost (4.3%)</t>
  </si>
  <si>
    <t>5.7%</t>
  </si>
  <si>
    <t>Per unit</t>
  </si>
  <si>
    <t>Option 2</t>
  </si>
  <si>
    <t>Cost =</t>
  </si>
  <si>
    <t>5.  Summary</t>
  </si>
  <si>
    <t>Current EPO order basis</t>
  </si>
  <si>
    <t xml:space="preserve">     Dialysis Fluids</t>
  </si>
  <si>
    <t xml:space="preserve">     EPO</t>
  </si>
  <si>
    <t>Revised EPO order basis</t>
  </si>
  <si>
    <t>Option 1</t>
  </si>
  <si>
    <t>Equipment</t>
  </si>
  <si>
    <t>Oncost @ 5.7%</t>
  </si>
  <si>
    <t>Pro rata to expenditure</t>
  </si>
  <si>
    <t>Timesheet - 45% EPO, 55% Fluids</t>
  </si>
  <si>
    <t>Floor area - 40% EPO, 60% Fluids</t>
  </si>
  <si>
    <t>Floor area - 30% EPO, 70% Fluids</t>
  </si>
  <si>
    <t>1.  Option 1 - EPO &amp; Dialysis Fluids - Costings</t>
  </si>
  <si>
    <t>As calculated</t>
  </si>
  <si>
    <t>Cost</t>
  </si>
  <si>
    <t>Per Pack</t>
  </si>
  <si>
    <t>Dialysis Fluids</t>
  </si>
  <si>
    <t xml:space="preserve">Direct delivery  </t>
  </si>
  <si>
    <t>2.  Option 2 - EPO &amp; Dialysis Fluids - Costings</t>
  </si>
  <si>
    <t>(based upon 4 orders)</t>
  </si>
  <si>
    <t>3.  Option 2 - EPO Economic Order Quantity</t>
  </si>
  <si>
    <t>(based upon 26 orders)</t>
  </si>
  <si>
    <t>4.  Option 2 - EPO Costs and Unit Cost</t>
  </si>
  <si>
    <t>7,17</t>
  </si>
  <si>
    <t>7,12,15</t>
  </si>
  <si>
    <t>As an oncost on EPO &amp; Dialysis Fluids</t>
  </si>
  <si>
    <t>Cost per pack (£)</t>
  </si>
  <si>
    <t>(1,000 @ £11)</t>
  </si>
  <si>
    <t>(13,000/2 @ £11)</t>
  </si>
  <si>
    <t>(52,000 @ £25.00 less 1% large order discount)</t>
  </si>
  <si>
    <t>(52,000 @ £25.00)</t>
  </si>
  <si>
    <t>Utilities</t>
  </si>
  <si>
    <t>√</t>
  </si>
  <si>
    <t>(2,000/2 @ £11)</t>
  </si>
  <si>
    <t>Delivery @£4.00 per delivery</t>
  </si>
  <si>
    <t>1. Apportionment of costs over sales products</t>
  </si>
  <si>
    <t>( R )</t>
  </si>
  <si>
    <t>( Co )</t>
  </si>
  <si>
    <t>( Ch )</t>
  </si>
  <si>
    <t>Unit cost</t>
  </si>
  <si>
    <t>Refrigerators - 100% EPO</t>
  </si>
  <si>
    <t>Store Manager's calculated cost</t>
  </si>
  <si>
    <t>Difference from Store Managers cost</t>
  </si>
  <si>
    <t>Difference from Store manager's Cost</t>
  </si>
  <si>
    <t>6. Excess costs of employing Mr. Nat Tells.</t>
  </si>
  <si>
    <t>Normal salary for a Store Manager</t>
  </si>
  <si>
    <t>Salary - protected rate for Mr. Tells</t>
  </si>
  <si>
    <t>Excess</t>
  </si>
  <si>
    <t>Pension and NI costs (20%)</t>
  </si>
  <si>
    <t>Disturbance travelling allowance</t>
  </si>
  <si>
    <t>10,13</t>
  </si>
  <si>
    <t>1.  Expenditure  - Full Budget</t>
  </si>
  <si>
    <t>1.  Expenditure  - Additions to Budget</t>
  </si>
  <si>
    <t>Rental</t>
  </si>
  <si>
    <t>Stationery/Printing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</si>
</sst>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_;\(#,##0.00\)_ ;&quot;-&quot;____;"/>
    <numFmt numFmtId="165" formatCode="#,##0.00__;\(#,##0.00\)_ ;&quot;-&quot;____;_-@_-"/>
    <numFmt numFmtId="166" formatCode="#,##0.0__;\(#,##0.0\)_ ;&quot;-&quot;____;_-@_-"/>
    <numFmt numFmtId="167" formatCode="#,##0__;\(#,##0\)_ ;&quot;-&quot;____;_-@_-"/>
    <numFmt numFmtId="168" formatCode="0.0%"/>
    <numFmt numFmtId="169" formatCode="#,##0.000__;\(#,##0.000\)_ ;&quot;-&quot;____;_-@_-"/>
    <numFmt numFmtId="170" formatCode="_-&quot;£&quot;* #,##0.0_-;\-&quot;£&quot;* #,##0.0_-;_-&quot;£&quot;* &quot;-&quot;??_-;_-@_-"/>
    <numFmt numFmtId="171" formatCode="_-&quot;£&quot;* #,##0_-;\-&quot;£&quot;* #,##0_-;_-&quot;£&quot;* &quot;-&quot;??_-;_-@_-"/>
    <numFmt numFmtId="172" formatCode="#,##0.0000__;\(#,##0.0000\)_ ;&quot;-&quot;____;_-@_-"/>
    <numFmt numFmtId="173" formatCode="#,##0.00000__;\(#,##0.00000\)_ ;&quot;-&quot;____;_-@_-"/>
    <numFmt numFmtId="174" formatCode="#,##0.000000__;\(#,##0.000000\)_ ;&quot;-&quot;____;_-@_-"/>
    <numFmt numFmtId="175" formatCode="#,##0.0000000__;\(#,##0.0000000\)_ ;&quot;-&quot;____;_-@_-"/>
    <numFmt numFmtId="176" formatCode="#,##0.00000000__;\(#,##0.00000000\)_ ;&quot;-&quot;____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0&quot;Yrs&quot;#"/>
    <numFmt numFmtId="183" formatCode="0.0"/>
    <numFmt numFmtId="184" formatCode="#,##0.000"/>
    <numFmt numFmtId="185" formatCode="0.000"/>
    <numFmt numFmtId="186" formatCode="#,##0.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2"/>
      <name val="Math B"/>
      <family val="0"/>
    </font>
    <font>
      <sz val="20"/>
      <name val="Math C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65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 quotePrefix="1">
      <alignment horizontal="center"/>
    </xf>
    <xf numFmtId="165" fontId="4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3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65" fontId="8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 quotePrefix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quotePrefix="1">
      <alignment/>
    </xf>
    <xf numFmtId="3" fontId="4" fillId="0" borderId="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 quotePrefix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/>
    </xf>
    <xf numFmtId="3" fontId="4" fillId="0" borderId="3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 quotePrefix="1">
      <alignment horizontal="center"/>
    </xf>
    <xf numFmtId="3" fontId="4" fillId="0" borderId="2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181" fontId="4" fillId="0" borderId="0" xfId="0" applyNumberFormat="1" applyFont="1" applyFill="1" applyAlignment="1">
      <alignment/>
    </xf>
    <xf numFmtId="3" fontId="4" fillId="0" borderId="5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4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center"/>
    </xf>
    <xf numFmtId="184" fontId="4" fillId="0" borderId="0" xfId="0" applyNumberFormat="1" applyFont="1" applyFill="1" applyAlignment="1">
      <alignment horizontal="right"/>
    </xf>
    <xf numFmtId="3" fontId="4" fillId="0" borderId="1" xfId="0" applyNumberFormat="1" applyFont="1" applyFill="1" applyBorder="1" applyAlignment="1" quotePrefix="1">
      <alignment horizontal="right"/>
    </xf>
    <xf numFmtId="3" fontId="4" fillId="0" borderId="6" xfId="0" applyNumberFormat="1" applyFont="1" applyFill="1" applyBorder="1" applyAlignment="1">
      <alignment horizontal="right"/>
    </xf>
    <xf numFmtId="4" fontId="4" fillId="0" borderId="6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/>
    </xf>
    <xf numFmtId="4" fontId="3" fillId="0" borderId="0" xfId="0" applyNumberFormat="1" applyFont="1" applyFill="1" applyAlignment="1">
      <alignment horizontal="center"/>
    </xf>
    <xf numFmtId="185" fontId="4" fillId="0" borderId="0" xfId="0" applyNumberFormat="1" applyFont="1" applyFill="1" applyAlignment="1">
      <alignment/>
    </xf>
    <xf numFmtId="4" fontId="4" fillId="0" borderId="0" xfId="0" applyNumberFormat="1" applyFont="1" applyFill="1" applyAlignment="1" quotePrefix="1">
      <alignment horizontal="right"/>
    </xf>
    <xf numFmtId="3" fontId="4" fillId="0" borderId="2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/>
    </xf>
    <xf numFmtId="4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4" fontId="4" fillId="0" borderId="2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65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4" fontId="4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/>
    </xf>
    <xf numFmtId="3" fontId="4" fillId="0" borderId="0" xfId="0" applyNumberFormat="1" applyFont="1" applyFill="1" applyBorder="1" applyAlignment="1" quotePrefix="1">
      <alignment horizontal="right"/>
    </xf>
    <xf numFmtId="165" fontId="6" fillId="3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right"/>
    </xf>
    <xf numFmtId="0" fontId="13" fillId="0" borderId="0" xfId="0" applyFont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3" fillId="0" borderId="7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4"/>
  <sheetViews>
    <sheetView tabSelected="1" workbookViewId="0" topLeftCell="A320">
      <selection activeCell="A46" sqref="A46:M335"/>
    </sheetView>
  </sheetViews>
  <sheetFormatPr defaultColWidth="9.140625" defaultRowHeight="12.75"/>
  <cols>
    <col min="1" max="1" width="2.7109375" style="1" customWidth="1"/>
    <col min="2" max="2" width="13.140625" style="1" customWidth="1"/>
    <col min="3" max="3" width="7.7109375" style="1" customWidth="1"/>
    <col min="4" max="4" width="6.28125" style="1" customWidth="1"/>
    <col min="5" max="5" width="8.421875" style="1" customWidth="1"/>
    <col min="6" max="6" width="7.57421875" style="1" customWidth="1"/>
    <col min="7" max="7" width="8.00390625" style="1" customWidth="1"/>
    <col min="8" max="8" width="8.8515625" style="3" customWidth="1"/>
    <col min="9" max="9" width="8.00390625" style="1" customWidth="1"/>
    <col min="10" max="10" width="7.421875" style="1" customWidth="1"/>
    <col min="11" max="11" width="7.7109375" style="1" customWidth="1"/>
    <col min="12" max="12" width="1.7109375" style="1" customWidth="1"/>
    <col min="13" max="13" width="8.00390625" style="3" customWidth="1"/>
    <col min="14" max="14" width="11.00390625" style="1" customWidth="1"/>
    <col min="15" max="16384" width="9.140625" style="1" customWidth="1"/>
  </cols>
  <sheetData>
    <row r="1" spans="1:14" ht="12.75">
      <c r="A1" s="11" t="s">
        <v>111</v>
      </c>
      <c r="C1" s="14"/>
      <c r="D1" s="14"/>
      <c r="E1" s="14"/>
      <c r="F1" s="14"/>
      <c r="G1" s="14"/>
      <c r="H1" s="15"/>
      <c r="I1" s="14"/>
      <c r="J1" s="14"/>
      <c r="K1" s="14"/>
      <c r="L1" s="14"/>
      <c r="M1" s="15"/>
      <c r="N1" s="14"/>
    </row>
    <row r="2" spans="3:14" ht="12.75">
      <c r="C2" s="14"/>
      <c r="D2" s="23" t="s">
        <v>22</v>
      </c>
      <c r="E2" s="23" t="s">
        <v>23</v>
      </c>
      <c r="F2" s="23" t="s">
        <v>24</v>
      </c>
      <c r="G2" s="23" t="s">
        <v>23</v>
      </c>
      <c r="H2" s="23" t="s">
        <v>24</v>
      </c>
      <c r="I2" s="17"/>
      <c r="J2" s="17"/>
      <c r="K2" s="17"/>
      <c r="L2" s="17"/>
      <c r="M2" s="23"/>
      <c r="N2" s="17"/>
    </row>
    <row r="3" spans="3:14" ht="12.75">
      <c r="C3" s="14"/>
      <c r="D3" s="26" t="s">
        <v>6</v>
      </c>
      <c r="E3" s="26"/>
      <c r="F3" s="17"/>
      <c r="G3" s="17"/>
      <c r="H3" s="23"/>
      <c r="I3" s="17"/>
      <c r="J3" s="17"/>
      <c r="K3" s="17"/>
      <c r="L3" s="17"/>
      <c r="M3" s="23"/>
      <c r="N3" s="17"/>
    </row>
    <row r="4" spans="1:14" ht="12.75">
      <c r="A4" s="1" t="s">
        <v>10</v>
      </c>
      <c r="C4" s="14"/>
      <c r="D4" s="17"/>
      <c r="E4" s="17"/>
      <c r="F4" s="17"/>
      <c r="G4" s="17"/>
      <c r="H4" s="23"/>
      <c r="I4" s="17"/>
      <c r="J4" s="17"/>
      <c r="K4" s="17"/>
      <c r="L4" s="17"/>
      <c r="M4" s="23"/>
      <c r="N4" s="17"/>
    </row>
    <row r="5" spans="2:14" ht="12.75">
      <c r="B5" s="1" t="s">
        <v>11</v>
      </c>
      <c r="C5" s="14"/>
      <c r="D5" s="17">
        <v>32400</v>
      </c>
      <c r="E5" s="17"/>
      <c r="F5" s="17"/>
      <c r="G5" s="29"/>
      <c r="H5" s="73"/>
      <c r="I5" s="17" t="s">
        <v>28</v>
      </c>
      <c r="J5" s="17"/>
      <c r="K5" s="17"/>
      <c r="L5" s="17"/>
      <c r="M5" s="23"/>
      <c r="N5" s="17"/>
    </row>
    <row r="6" spans="2:14" ht="12.75">
      <c r="B6" s="1" t="s">
        <v>12</v>
      </c>
      <c r="C6" s="14"/>
      <c r="D6" s="17">
        <v>15500</v>
      </c>
      <c r="E6" s="17">
        <f>+D6*G6</f>
        <v>6975</v>
      </c>
      <c r="F6" s="17">
        <f>+D6*H6</f>
        <v>8525</v>
      </c>
      <c r="G6" s="31">
        <v>0.45</v>
      </c>
      <c r="H6" s="54">
        <v>0.55</v>
      </c>
      <c r="I6" s="17" t="s">
        <v>25</v>
      </c>
      <c r="J6" s="17"/>
      <c r="K6" s="17"/>
      <c r="L6" s="17"/>
      <c r="M6" s="23"/>
      <c r="N6" s="17"/>
    </row>
    <row r="7" spans="2:14" ht="12.75">
      <c r="B7" s="1" t="s">
        <v>13</v>
      </c>
      <c r="C7" s="14"/>
      <c r="D7" s="17">
        <v>13500</v>
      </c>
      <c r="E7" s="17">
        <f>+D7*G7</f>
        <v>6075</v>
      </c>
      <c r="F7" s="17">
        <f>+D7*H7</f>
        <v>7425.000000000001</v>
      </c>
      <c r="G7" s="31">
        <v>0.45</v>
      </c>
      <c r="H7" s="54">
        <v>0.55</v>
      </c>
      <c r="I7" s="17" t="s">
        <v>25</v>
      </c>
      <c r="J7" s="17"/>
      <c r="K7" s="17"/>
      <c r="L7" s="17"/>
      <c r="M7" s="23"/>
      <c r="N7" s="17"/>
    </row>
    <row r="8" spans="2:14" ht="12.75">
      <c r="B8" s="1" t="s">
        <v>36</v>
      </c>
      <c r="C8" s="14"/>
      <c r="D8" s="17">
        <v>1500</v>
      </c>
      <c r="E8" s="17"/>
      <c r="F8" s="17"/>
      <c r="G8" s="31"/>
      <c r="H8" s="54"/>
      <c r="I8" s="17" t="s">
        <v>28</v>
      </c>
      <c r="J8" s="17"/>
      <c r="K8" s="17"/>
      <c r="L8" s="17"/>
      <c r="M8" s="23"/>
      <c r="N8" s="17"/>
    </row>
    <row r="9" spans="3:14" ht="12.75">
      <c r="C9" s="14"/>
      <c r="D9" s="24">
        <f>SUM(D5:D8)</f>
        <v>62900</v>
      </c>
      <c r="E9" s="24">
        <f>SUM(E5:E8)</f>
        <v>13050</v>
      </c>
      <c r="F9" s="24">
        <f>SUM(F5:F8)</f>
        <v>15950</v>
      </c>
      <c r="G9" s="31"/>
      <c r="H9" s="54"/>
      <c r="I9" s="17"/>
      <c r="J9" s="17"/>
      <c r="K9" s="17"/>
      <c r="L9" s="17"/>
      <c r="M9" s="23"/>
      <c r="N9" s="17"/>
    </row>
    <row r="10" spans="1:14" ht="12.75">
      <c r="A10" s="1" t="s">
        <v>16</v>
      </c>
      <c r="C10" s="14"/>
      <c r="D10" s="25"/>
      <c r="E10" s="25"/>
      <c r="F10" s="17"/>
      <c r="G10" s="31"/>
      <c r="H10" s="54"/>
      <c r="I10" s="17"/>
      <c r="J10" s="17"/>
      <c r="K10" s="17"/>
      <c r="L10" s="17"/>
      <c r="M10" s="23"/>
      <c r="N10" s="17"/>
    </row>
    <row r="11" spans="2:14" ht="12.75">
      <c r="B11" s="1" t="s">
        <v>18</v>
      </c>
      <c r="C11" s="14"/>
      <c r="D11" s="25">
        <v>100</v>
      </c>
      <c r="E11" s="17">
        <f>+D11*G11</f>
        <v>30</v>
      </c>
      <c r="F11" s="17">
        <f>+D11*H11</f>
        <v>70</v>
      </c>
      <c r="G11" s="31">
        <v>0.3</v>
      </c>
      <c r="H11" s="54">
        <v>0.7</v>
      </c>
      <c r="I11" s="17" t="s">
        <v>26</v>
      </c>
      <c r="J11" s="17"/>
      <c r="K11" s="17"/>
      <c r="L11" s="17"/>
      <c r="M11" s="23"/>
      <c r="N11" s="17"/>
    </row>
    <row r="12" spans="2:14" ht="12.75">
      <c r="B12" s="1" t="s">
        <v>149</v>
      </c>
      <c r="C12" s="14"/>
      <c r="D12" s="25">
        <v>0</v>
      </c>
      <c r="E12" s="17">
        <f>+D12*G12</f>
        <v>0</v>
      </c>
      <c r="F12" s="17">
        <f>+D12*H12</f>
        <v>0</v>
      </c>
      <c r="G12" s="31">
        <v>0.4</v>
      </c>
      <c r="H12" s="54">
        <v>0.6</v>
      </c>
      <c r="I12" s="17" t="s">
        <v>27</v>
      </c>
      <c r="J12" s="17"/>
      <c r="K12" s="17"/>
      <c r="L12" s="17"/>
      <c r="M12" s="23"/>
      <c r="N12" s="17"/>
    </row>
    <row r="13" spans="2:14" ht="12.75">
      <c r="B13" s="1" t="s">
        <v>65</v>
      </c>
      <c r="C13" s="14"/>
      <c r="D13" s="25">
        <v>0</v>
      </c>
      <c r="E13" s="17">
        <f>+D13*G13</f>
        <v>0</v>
      </c>
      <c r="F13" s="17">
        <f>+D13*H13</f>
        <v>0</v>
      </c>
      <c r="G13" s="31">
        <v>0.3</v>
      </c>
      <c r="H13" s="54">
        <v>0.7</v>
      </c>
      <c r="I13" s="17" t="s">
        <v>26</v>
      </c>
      <c r="J13" s="17"/>
      <c r="K13" s="17"/>
      <c r="L13" s="17"/>
      <c r="M13" s="23"/>
      <c r="N13" s="17"/>
    </row>
    <row r="14" spans="3:14" ht="12.75">
      <c r="C14" s="14"/>
      <c r="D14" s="24">
        <f>SUM(D11:D13)</f>
        <v>100</v>
      </c>
      <c r="E14" s="24">
        <f>SUM(E11:E13)</f>
        <v>30</v>
      </c>
      <c r="F14" s="24">
        <f>SUM(F11:F13)</f>
        <v>70</v>
      </c>
      <c r="G14" s="31"/>
      <c r="H14" s="54"/>
      <c r="I14" s="17"/>
      <c r="J14" s="17"/>
      <c r="K14" s="17"/>
      <c r="L14" s="17"/>
      <c r="M14" s="23"/>
      <c r="N14" s="17"/>
    </row>
    <row r="15" spans="1:14" ht="12.75">
      <c r="A15" s="1" t="s">
        <v>14</v>
      </c>
      <c r="C15" s="14"/>
      <c r="D15" s="17"/>
      <c r="E15" s="17"/>
      <c r="F15" s="17"/>
      <c r="G15" s="31"/>
      <c r="H15" s="54"/>
      <c r="I15" s="17"/>
      <c r="J15" s="17"/>
      <c r="K15" s="17"/>
      <c r="L15" s="17"/>
      <c r="M15" s="23"/>
      <c r="N15" s="17"/>
    </row>
    <row r="16" spans="2:14" ht="12.75">
      <c r="B16" s="1" t="s">
        <v>15</v>
      </c>
      <c r="C16" s="14"/>
      <c r="D16" s="17">
        <v>5040</v>
      </c>
      <c r="E16" s="17">
        <f>+D16*G16</f>
        <v>2268</v>
      </c>
      <c r="F16" s="17">
        <f>+D16*H16</f>
        <v>2772</v>
      </c>
      <c r="G16" s="31">
        <v>0.45</v>
      </c>
      <c r="H16" s="54">
        <v>0.55</v>
      </c>
      <c r="I16" s="17"/>
      <c r="J16" s="17"/>
      <c r="K16" s="17"/>
      <c r="L16" s="17"/>
      <c r="M16" s="23"/>
      <c r="N16" s="17"/>
    </row>
    <row r="17" spans="3:14" ht="12.75">
      <c r="C17" s="14"/>
      <c r="D17" s="24">
        <f>SUM(D16:D16)</f>
        <v>5040</v>
      </c>
      <c r="E17" s="24">
        <f>SUM(E16:E16)</f>
        <v>2268</v>
      </c>
      <c r="F17" s="24">
        <f>SUM(F16:F16)</f>
        <v>2772</v>
      </c>
      <c r="G17" s="31"/>
      <c r="H17" s="54"/>
      <c r="I17" s="17"/>
      <c r="J17" s="17"/>
      <c r="K17" s="17"/>
      <c r="L17" s="17"/>
      <c r="M17" s="23"/>
      <c r="N17" s="17"/>
    </row>
    <row r="18" spans="1:14" ht="12.75">
      <c r="A18" s="1" t="s">
        <v>19</v>
      </c>
      <c r="C18" s="14"/>
      <c r="D18" s="17"/>
      <c r="E18" s="17"/>
      <c r="F18" s="17"/>
      <c r="G18" s="31"/>
      <c r="H18" s="54"/>
      <c r="I18" s="17"/>
      <c r="J18" s="17"/>
      <c r="K18" s="17"/>
      <c r="L18" s="17"/>
      <c r="M18" s="23"/>
      <c r="N18" s="17"/>
    </row>
    <row r="19" spans="2:14" ht="12.75">
      <c r="B19" s="1" t="s">
        <v>124</v>
      </c>
      <c r="C19" s="14"/>
      <c r="D19" s="17">
        <v>3500</v>
      </c>
      <c r="E19" s="17">
        <f>+D19*G19</f>
        <v>3500</v>
      </c>
      <c r="F19" s="17">
        <f>+D19*H19</f>
        <v>0</v>
      </c>
      <c r="G19" s="31">
        <v>1</v>
      </c>
      <c r="H19" s="54">
        <v>0</v>
      </c>
      <c r="I19" s="17"/>
      <c r="J19" s="17"/>
      <c r="K19" s="17"/>
      <c r="L19" s="17"/>
      <c r="M19" s="23"/>
      <c r="N19" s="17"/>
    </row>
    <row r="20" spans="2:14" ht="12.75">
      <c r="B20" s="1" t="s">
        <v>20</v>
      </c>
      <c r="C20" s="14"/>
      <c r="D20" s="17">
        <v>0</v>
      </c>
      <c r="E20" s="17"/>
      <c r="F20" s="17"/>
      <c r="G20" s="31"/>
      <c r="H20" s="54"/>
      <c r="I20" s="17" t="s">
        <v>28</v>
      </c>
      <c r="J20" s="17"/>
      <c r="K20" s="17"/>
      <c r="L20" s="17"/>
      <c r="M20" s="23"/>
      <c r="N20" s="17"/>
    </row>
    <row r="21" spans="2:14" ht="12.75">
      <c r="B21" s="1" t="s">
        <v>21</v>
      </c>
      <c r="C21" s="14"/>
      <c r="D21" s="17">
        <v>1000</v>
      </c>
      <c r="E21" s="17"/>
      <c r="F21" s="17"/>
      <c r="G21" s="31"/>
      <c r="H21" s="54"/>
      <c r="I21" s="17" t="s">
        <v>28</v>
      </c>
      <c r="J21" s="17"/>
      <c r="K21" s="17"/>
      <c r="L21" s="17"/>
      <c r="M21" s="23"/>
      <c r="N21" s="17"/>
    </row>
    <row r="22" spans="3:14" ht="12.75">
      <c r="C22" s="14"/>
      <c r="D22" s="24">
        <f>SUM(D19:D21)</f>
        <v>4500</v>
      </c>
      <c r="E22" s="24">
        <f>SUM(E19:E21)</f>
        <v>3500</v>
      </c>
      <c r="F22" s="24">
        <f>SUM(F19:F21)</f>
        <v>0</v>
      </c>
      <c r="G22" s="31"/>
      <c r="H22" s="54"/>
      <c r="I22" s="17"/>
      <c r="J22" s="17"/>
      <c r="K22" s="17"/>
      <c r="L22" s="17"/>
      <c r="M22" s="23"/>
      <c r="N22" s="17"/>
    </row>
    <row r="23" spans="3:14" ht="12.75">
      <c r="C23" s="14"/>
      <c r="D23" s="17"/>
      <c r="E23" s="17"/>
      <c r="F23" s="17"/>
      <c r="G23" s="31"/>
      <c r="H23" s="54"/>
      <c r="I23" s="17"/>
      <c r="J23" s="17"/>
      <c r="K23" s="17"/>
      <c r="L23" s="17"/>
      <c r="M23" s="23"/>
      <c r="N23" s="17"/>
    </row>
    <row r="24" spans="1:14" ht="12.75">
      <c r="A24" s="1" t="s">
        <v>3</v>
      </c>
      <c r="C24" s="14"/>
      <c r="D24" s="27">
        <v>0</v>
      </c>
      <c r="E24" s="27">
        <v>0</v>
      </c>
      <c r="F24" s="27">
        <v>0</v>
      </c>
      <c r="G24" s="31"/>
      <c r="H24" s="54"/>
      <c r="I24" s="17" t="s">
        <v>28</v>
      </c>
      <c r="J24" s="17"/>
      <c r="K24" s="17"/>
      <c r="L24" s="17"/>
      <c r="M24" s="23"/>
      <c r="N24" s="17"/>
    </row>
    <row r="25" spans="3:14" ht="12.75">
      <c r="C25" s="14"/>
      <c r="D25" s="17"/>
      <c r="E25" s="17"/>
      <c r="F25" s="17"/>
      <c r="G25" s="31"/>
      <c r="H25" s="54"/>
      <c r="I25" s="17"/>
      <c r="J25" s="17"/>
      <c r="K25" s="17"/>
      <c r="L25" s="17"/>
      <c r="M25" s="23"/>
      <c r="N25" s="17"/>
    </row>
    <row r="26" spans="3:14" ht="13.5" thickBot="1">
      <c r="C26" s="47">
        <f>+D26/(E29+F30)</f>
        <v>0.042999407231772376</v>
      </c>
      <c r="D26" s="28">
        <f>+D9+D14+D17+D22+D24</f>
        <v>72540</v>
      </c>
      <c r="E26" s="30">
        <f>+E9+E14+E17+E22+E24</f>
        <v>18848</v>
      </c>
      <c r="F26" s="30">
        <f>+F9+F14+F17+F22+F24</f>
        <v>18792</v>
      </c>
      <c r="G26" s="29"/>
      <c r="H26" s="73"/>
      <c r="I26" s="17"/>
      <c r="J26" s="17"/>
      <c r="K26" s="17"/>
      <c r="L26" s="17"/>
      <c r="M26" s="23"/>
      <c r="N26" s="17"/>
    </row>
    <row r="27" spans="1:14" ht="13.5" thickTop="1">
      <c r="A27" s="1" t="s">
        <v>29</v>
      </c>
      <c r="C27" s="14">
        <f>+D26-E26-F26</f>
        <v>34900</v>
      </c>
      <c r="D27" s="17"/>
      <c r="E27" s="17">
        <f>+E26/(E26+F26)*C27</f>
        <v>17475.96174282678</v>
      </c>
      <c r="F27" s="17">
        <f>+F26/(F26+E26)*C27</f>
        <v>17424.038257173223</v>
      </c>
      <c r="G27" s="17"/>
      <c r="H27" s="23"/>
      <c r="I27" s="17"/>
      <c r="J27" s="17"/>
      <c r="K27" s="17"/>
      <c r="L27" s="17"/>
      <c r="M27" s="23"/>
      <c r="N27" s="17"/>
    </row>
    <row r="28" spans="3:14" ht="12.75">
      <c r="C28" s="14"/>
      <c r="D28" s="17"/>
      <c r="E28" s="30">
        <f>+E26+E27</f>
        <v>36323.96174282678</v>
      </c>
      <c r="F28" s="30">
        <f>+F26+F27</f>
        <v>36216.03825717322</v>
      </c>
      <c r="G28" s="17"/>
      <c r="H28" s="23"/>
      <c r="I28" s="17"/>
      <c r="J28" s="17"/>
      <c r="K28" s="17"/>
      <c r="L28" s="17"/>
      <c r="M28" s="23"/>
      <c r="N28" s="17"/>
    </row>
    <row r="29" spans="1:14" ht="12.75">
      <c r="A29" s="1" t="s">
        <v>23</v>
      </c>
      <c r="C29" s="14"/>
      <c r="D29" s="17"/>
      <c r="E29" s="25">
        <v>1287000</v>
      </c>
      <c r="F29" s="25"/>
      <c r="G29" s="17"/>
      <c r="H29" s="23"/>
      <c r="I29" s="17"/>
      <c r="J29" s="17"/>
      <c r="K29" s="17"/>
      <c r="L29" s="17"/>
      <c r="M29" s="23"/>
      <c r="N29" s="17"/>
    </row>
    <row r="30" spans="1:14" ht="12.75">
      <c r="A30" s="1" t="s">
        <v>34</v>
      </c>
      <c r="C30" s="14"/>
      <c r="D30" s="17"/>
      <c r="E30" s="25"/>
      <c r="F30" s="25">
        <v>400000</v>
      </c>
      <c r="G30" s="17"/>
      <c r="H30" s="23"/>
      <c r="I30" s="17"/>
      <c r="J30" s="17"/>
      <c r="K30" s="17"/>
      <c r="L30" s="17"/>
      <c r="M30" s="23"/>
      <c r="N30" s="17"/>
    </row>
    <row r="31" spans="3:14" ht="13.5" thickBot="1">
      <c r="C31" s="14"/>
      <c r="D31" s="17"/>
      <c r="E31" s="28">
        <f>+E28+E29+E30</f>
        <v>1323323.9617428267</v>
      </c>
      <c r="F31" s="28">
        <f>+F28+F29+F30</f>
        <v>436216.0382571732</v>
      </c>
      <c r="G31" s="17"/>
      <c r="H31" s="23"/>
      <c r="I31" s="17"/>
      <c r="J31" s="17"/>
      <c r="K31" s="17"/>
      <c r="L31" s="17"/>
      <c r="M31" s="23"/>
      <c r="N31" s="17"/>
    </row>
    <row r="32" spans="3:14" ht="13.5" thickTop="1">
      <c r="C32" s="14"/>
      <c r="D32" s="17"/>
      <c r="E32" s="25"/>
      <c r="F32" s="25"/>
      <c r="G32" s="25"/>
      <c r="H32" s="23"/>
      <c r="I32" s="17"/>
      <c r="J32" s="17"/>
      <c r="K32" s="17"/>
      <c r="L32" s="17"/>
      <c r="M32" s="23"/>
      <c r="N32" s="17"/>
    </row>
    <row r="33" spans="1:14" ht="12.75">
      <c r="A33" s="1" t="s">
        <v>30</v>
      </c>
      <c r="C33" s="15" t="s">
        <v>33</v>
      </c>
      <c r="D33" s="23" t="s">
        <v>32</v>
      </c>
      <c r="E33" s="17">
        <v>52000</v>
      </c>
      <c r="F33" s="17">
        <v>50000</v>
      </c>
      <c r="G33" s="17"/>
      <c r="H33" s="23"/>
      <c r="I33" s="17"/>
      <c r="J33" s="17"/>
      <c r="K33" s="17"/>
      <c r="L33" s="17"/>
      <c r="M33" s="23"/>
      <c r="N33" s="17"/>
    </row>
    <row r="34" spans="3:14" ht="12.75">
      <c r="C34" s="14"/>
      <c r="D34" s="17"/>
      <c r="E34" s="17"/>
      <c r="F34" s="17"/>
      <c r="G34" s="17"/>
      <c r="H34" s="23"/>
      <c r="I34" s="17"/>
      <c r="J34" s="17"/>
      <c r="K34" s="17"/>
      <c r="L34" s="17"/>
      <c r="M34" s="23"/>
      <c r="N34" s="17"/>
    </row>
    <row r="35" spans="1:14" ht="12.75">
      <c r="A35" s="1" t="s">
        <v>31</v>
      </c>
      <c r="C35" s="14"/>
      <c r="D35" s="17"/>
      <c r="E35" s="32">
        <f>+E31/E33</f>
        <v>25.44853772582359</v>
      </c>
      <c r="F35" s="32">
        <f>+F31/F33</f>
        <v>8.724320765143464</v>
      </c>
      <c r="G35" s="17"/>
      <c r="H35" s="23"/>
      <c r="I35" s="17"/>
      <c r="J35" s="17"/>
      <c r="K35" s="17"/>
      <c r="L35" s="17"/>
      <c r="M35" s="23"/>
      <c r="N35" s="17"/>
    </row>
    <row r="36" spans="3:14" ht="12.75">
      <c r="C36" s="14"/>
      <c r="D36" s="17"/>
      <c r="E36" s="17"/>
      <c r="F36" s="17"/>
      <c r="G36" s="17"/>
      <c r="H36" s="23"/>
      <c r="I36" s="17"/>
      <c r="J36" s="17"/>
      <c r="K36" s="17"/>
      <c r="L36" s="17"/>
      <c r="M36" s="23"/>
      <c r="N36" s="17"/>
    </row>
    <row r="37" spans="1:14" ht="12.75">
      <c r="A37" s="1" t="s">
        <v>35</v>
      </c>
      <c r="C37" s="14"/>
      <c r="D37" s="17"/>
      <c r="E37" s="31">
        <f>+E29/E33</f>
        <v>24.75</v>
      </c>
      <c r="F37" s="31">
        <f>+F30/F33</f>
        <v>8</v>
      </c>
      <c r="G37" s="17"/>
      <c r="H37" s="23"/>
      <c r="I37" s="17"/>
      <c r="J37" s="17"/>
      <c r="K37" s="17"/>
      <c r="L37" s="17"/>
      <c r="M37" s="23"/>
      <c r="N37" s="17"/>
    </row>
    <row r="38" spans="1:14" ht="12.75">
      <c r="A38" s="1" t="s">
        <v>113</v>
      </c>
      <c r="C38" s="14"/>
      <c r="D38" s="17"/>
      <c r="E38" s="31">
        <f>+E37*C26</f>
        <v>1.0642353289863662</v>
      </c>
      <c r="F38" s="31">
        <f>+F37*C26</f>
        <v>0.343995257854179</v>
      </c>
      <c r="G38" s="17"/>
      <c r="H38" s="23"/>
      <c r="I38" s="17"/>
      <c r="J38" s="17"/>
      <c r="K38" s="17"/>
      <c r="L38" s="17"/>
      <c r="M38" s="23"/>
      <c r="N38" s="17"/>
    </row>
    <row r="39" spans="3:14" ht="13.5" thickBot="1">
      <c r="C39" s="14"/>
      <c r="D39" s="17"/>
      <c r="E39" s="33">
        <f>+E37+E38</f>
        <v>25.814235328986367</v>
      </c>
      <c r="F39" s="33">
        <f>+F37+F38</f>
        <v>8.343995257854179</v>
      </c>
      <c r="G39" s="17"/>
      <c r="H39" s="23"/>
      <c r="I39" s="17"/>
      <c r="J39" s="17"/>
      <c r="K39" s="17"/>
      <c r="L39" s="17"/>
      <c r="M39" s="23"/>
      <c r="N39" s="17"/>
    </row>
    <row r="40" spans="3:14" ht="13.5" thickTop="1">
      <c r="C40" s="14"/>
      <c r="D40" s="17"/>
      <c r="E40" s="31"/>
      <c r="F40" s="31"/>
      <c r="G40" s="17"/>
      <c r="H40" s="23"/>
      <c r="I40" s="17"/>
      <c r="J40" s="17"/>
      <c r="K40" s="17"/>
      <c r="L40" s="17"/>
      <c r="M40" s="23"/>
      <c r="N40" s="17"/>
    </row>
    <row r="41" spans="3:14" ht="12.75">
      <c r="C41" s="14"/>
      <c r="D41" s="17"/>
      <c r="E41" s="31"/>
      <c r="F41" s="31"/>
      <c r="G41" s="17"/>
      <c r="H41" s="23"/>
      <c r="I41" s="17"/>
      <c r="J41" s="17"/>
      <c r="K41" s="17"/>
      <c r="L41" s="17"/>
      <c r="M41" s="23"/>
      <c r="N41" s="17"/>
    </row>
    <row r="42" spans="3:14" ht="12.75">
      <c r="C42" s="14"/>
      <c r="D42" s="17"/>
      <c r="E42" s="31"/>
      <c r="F42" s="31"/>
      <c r="G42" s="17"/>
      <c r="H42" s="23"/>
      <c r="I42" s="17"/>
      <c r="J42" s="17"/>
      <c r="K42" s="17"/>
      <c r="L42" s="17"/>
      <c r="M42" s="23"/>
      <c r="N42" s="17"/>
    </row>
    <row r="43" spans="3:14" ht="12.75">
      <c r="C43" s="14"/>
      <c r="D43" s="17"/>
      <c r="E43" s="31"/>
      <c r="F43" s="31"/>
      <c r="G43" s="17"/>
      <c r="H43" s="23"/>
      <c r="I43" s="17"/>
      <c r="J43" s="17"/>
      <c r="K43" s="17"/>
      <c r="L43" s="17"/>
      <c r="M43" s="23"/>
      <c r="N43" s="17"/>
    </row>
    <row r="44" spans="3:14" ht="12.75">
      <c r="C44" s="14"/>
      <c r="D44" s="17"/>
      <c r="E44" s="17"/>
      <c r="F44" s="17"/>
      <c r="G44" s="17"/>
      <c r="H44" s="23"/>
      <c r="I44" s="17"/>
      <c r="J44" s="17"/>
      <c r="K44" s="17"/>
      <c r="L44" s="17"/>
      <c r="M44" s="23"/>
      <c r="N44" s="17"/>
    </row>
    <row r="45" spans="3:14" ht="12.75">
      <c r="C45" s="14"/>
      <c r="D45" s="17"/>
      <c r="E45" s="17"/>
      <c r="F45" s="17"/>
      <c r="G45" s="17"/>
      <c r="H45" s="23"/>
      <c r="I45" s="17"/>
      <c r="J45" s="17"/>
      <c r="K45" s="17"/>
      <c r="L45" s="17"/>
      <c r="M45" s="23"/>
      <c r="N45" s="17"/>
    </row>
    <row r="46" spans="1:14" ht="15.75">
      <c r="A46" s="90" t="s">
        <v>37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7"/>
    </row>
    <row r="47" spans="1:14" ht="12.75">
      <c r="A47" s="89" t="s">
        <v>111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9"/>
    </row>
    <row r="48" spans="1:14" ht="18.7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10"/>
    </row>
    <row r="49" spans="1:14" ht="12.7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10"/>
    </row>
    <row r="50" spans="10:14" ht="12.75">
      <c r="J50" s="8"/>
      <c r="K50" s="8"/>
      <c r="L50" s="8"/>
      <c r="N50" s="5"/>
    </row>
    <row r="51" spans="10:14" ht="12.75">
      <c r="J51" s="8"/>
      <c r="K51" s="4"/>
      <c r="L51" s="4"/>
      <c r="M51" s="4" t="s">
        <v>5</v>
      </c>
      <c r="N51" s="6"/>
    </row>
    <row r="52" spans="1:14" ht="12.75">
      <c r="A52" s="11" t="s">
        <v>170</v>
      </c>
      <c r="J52" s="8"/>
      <c r="K52" s="4"/>
      <c r="L52" s="4"/>
      <c r="M52" s="77"/>
      <c r="N52" s="6"/>
    </row>
    <row r="53" spans="4:14" ht="12.75">
      <c r="D53" s="2"/>
      <c r="G53" s="2"/>
      <c r="H53" s="2" t="s">
        <v>2</v>
      </c>
      <c r="I53" s="2"/>
      <c r="K53" s="2" t="s">
        <v>2</v>
      </c>
      <c r="L53" s="2"/>
      <c r="M53" s="77"/>
      <c r="N53" s="6"/>
    </row>
    <row r="54" spans="1:14" ht="12.75">
      <c r="A54" s="13" t="s">
        <v>38</v>
      </c>
      <c r="D54" s="2"/>
      <c r="H54" s="2"/>
      <c r="J54" s="2"/>
      <c r="K54" s="4"/>
      <c r="L54" s="4"/>
      <c r="M54" s="77"/>
      <c r="N54" s="6"/>
    </row>
    <row r="55" spans="1:14" ht="12.75">
      <c r="A55" s="13"/>
      <c r="B55" s="1" t="s">
        <v>11</v>
      </c>
      <c r="D55" s="2"/>
      <c r="H55" s="26">
        <f>+D5</f>
        <v>32400</v>
      </c>
      <c r="I55" s="34" t="s">
        <v>7</v>
      </c>
      <c r="J55" s="31">
        <v>0.2</v>
      </c>
      <c r="K55" s="34">
        <f>+H55*J55</f>
        <v>6480</v>
      </c>
      <c r="L55" s="34"/>
      <c r="M55" s="86">
        <v>13</v>
      </c>
      <c r="N55" s="6"/>
    </row>
    <row r="56" spans="1:14" ht="12.75">
      <c r="A56" s="13"/>
      <c r="B56" s="1" t="s">
        <v>12</v>
      </c>
      <c r="D56" s="2"/>
      <c r="H56" s="26">
        <f>+D6</f>
        <v>15500</v>
      </c>
      <c r="I56" s="34" t="s">
        <v>7</v>
      </c>
      <c r="J56" s="31">
        <v>0.2</v>
      </c>
      <c r="K56" s="34">
        <f>+H56*J56</f>
        <v>3100</v>
      </c>
      <c r="L56" s="34"/>
      <c r="M56" s="86">
        <v>13</v>
      </c>
      <c r="N56" s="6"/>
    </row>
    <row r="57" spans="2:14" ht="12.75">
      <c r="B57" s="1" t="s">
        <v>13</v>
      </c>
      <c r="C57" s="16"/>
      <c r="D57" s="17"/>
      <c r="E57" s="34"/>
      <c r="F57" s="31"/>
      <c r="G57" s="17"/>
      <c r="H57" s="26">
        <f>+D7</f>
        <v>13500</v>
      </c>
      <c r="I57" s="34" t="s">
        <v>7</v>
      </c>
      <c r="J57" s="31">
        <v>0.2</v>
      </c>
      <c r="K57" s="34">
        <f>+H57*J57</f>
        <v>2700</v>
      </c>
      <c r="L57" s="34"/>
      <c r="M57" s="86">
        <v>13</v>
      </c>
      <c r="N57" s="6"/>
    </row>
    <row r="58" spans="4:14" ht="13.5" thickBot="1">
      <c r="D58" s="17"/>
      <c r="E58" s="17"/>
      <c r="F58" s="17"/>
      <c r="G58" s="17"/>
      <c r="H58" s="23"/>
      <c r="I58" s="17"/>
      <c r="J58" s="34"/>
      <c r="K58" s="40">
        <f>SUM(K55:K57)</f>
        <v>12280</v>
      </c>
      <c r="L58" s="20"/>
      <c r="M58" s="86"/>
      <c r="N58" s="6"/>
    </row>
    <row r="59" spans="1:14" ht="12.75">
      <c r="A59" s="13" t="s">
        <v>16</v>
      </c>
      <c r="D59" s="17"/>
      <c r="E59" s="17"/>
      <c r="F59" s="17"/>
      <c r="G59" s="17"/>
      <c r="H59" s="23"/>
      <c r="I59" s="17"/>
      <c r="J59" s="34"/>
      <c r="K59" s="35"/>
      <c r="L59" s="35"/>
      <c r="M59" s="86"/>
      <c r="N59" s="6"/>
    </row>
    <row r="60" spans="1:14" ht="12.75">
      <c r="A60" s="13"/>
      <c r="B60" s="1" t="s">
        <v>39</v>
      </c>
      <c r="C60" s="14">
        <v>2625</v>
      </c>
      <c r="D60" s="17" t="s">
        <v>42</v>
      </c>
      <c r="E60" s="17"/>
      <c r="F60" s="17"/>
      <c r="G60" s="17"/>
      <c r="H60" s="23"/>
      <c r="I60" s="17"/>
      <c r="J60" s="34"/>
      <c r="K60" s="35"/>
      <c r="L60" s="35"/>
      <c r="M60" s="86">
        <v>17</v>
      </c>
      <c r="N60" s="6"/>
    </row>
    <row r="61" spans="1:14" ht="12.75">
      <c r="A61" s="13"/>
      <c r="B61" s="1" t="s">
        <v>40</v>
      </c>
      <c r="C61" s="14">
        <v>525</v>
      </c>
      <c r="D61" s="17" t="s">
        <v>42</v>
      </c>
      <c r="E61" s="26" t="s">
        <v>41</v>
      </c>
      <c r="F61" s="18" t="s">
        <v>69</v>
      </c>
      <c r="G61" s="17"/>
      <c r="H61" s="23"/>
      <c r="I61" s="17"/>
      <c r="J61" s="34"/>
      <c r="K61" s="35"/>
      <c r="L61" s="35"/>
      <c r="M61" s="86">
        <v>17</v>
      </c>
      <c r="N61" s="6"/>
    </row>
    <row r="62" spans="1:14" ht="12.75">
      <c r="A62" s="13"/>
      <c r="D62" s="17"/>
      <c r="E62" s="26"/>
      <c r="F62" s="18"/>
      <c r="G62" s="17"/>
      <c r="H62" s="23"/>
      <c r="I62" s="17"/>
      <c r="J62" s="34"/>
      <c r="K62" s="35"/>
      <c r="L62" s="35"/>
      <c r="M62" s="86"/>
      <c r="N62" s="6"/>
    </row>
    <row r="63" spans="1:14" ht="12.75">
      <c r="A63" s="13"/>
      <c r="B63" s="1" t="s">
        <v>17</v>
      </c>
      <c r="C63" s="14">
        <f>+C61</f>
        <v>525</v>
      </c>
      <c r="D63" s="17" t="s">
        <v>42</v>
      </c>
      <c r="E63" s="26"/>
      <c r="F63" s="18"/>
      <c r="G63" s="17"/>
      <c r="H63" s="23"/>
      <c r="I63" s="34" t="s">
        <v>7</v>
      </c>
      <c r="J63" s="36">
        <v>4.5</v>
      </c>
      <c r="K63" s="20">
        <f>+C63*J63</f>
        <v>2362.5</v>
      </c>
      <c r="L63" s="20"/>
      <c r="M63" s="86">
        <v>17</v>
      </c>
      <c r="N63" s="6"/>
    </row>
    <row r="64" spans="1:14" ht="12.75">
      <c r="A64" s="13"/>
      <c r="C64" s="1" t="s">
        <v>66</v>
      </c>
      <c r="D64" s="17"/>
      <c r="E64" s="26"/>
      <c r="F64" s="18"/>
      <c r="G64" s="17"/>
      <c r="H64" s="23"/>
      <c r="I64" s="17"/>
      <c r="J64" s="34"/>
      <c r="K64" s="34">
        <v>-100</v>
      </c>
      <c r="L64" s="34"/>
      <c r="M64" s="86" t="s">
        <v>141</v>
      </c>
      <c r="N64" s="6"/>
    </row>
    <row r="65" spans="2:14" ht="13.5" thickBot="1">
      <c r="B65" s="1" t="s">
        <v>17</v>
      </c>
      <c r="C65" s="14">
        <f>+C61</f>
        <v>525</v>
      </c>
      <c r="D65" s="17" t="s">
        <v>42</v>
      </c>
      <c r="E65" s="17"/>
      <c r="F65" s="17"/>
      <c r="G65" s="17"/>
      <c r="H65" s="23"/>
      <c r="I65" s="34" t="s">
        <v>7</v>
      </c>
      <c r="J65" s="36">
        <v>4.5</v>
      </c>
      <c r="K65" s="40">
        <f>+K63+K64</f>
        <v>2262.5</v>
      </c>
      <c r="L65" s="20"/>
      <c r="M65" s="86"/>
      <c r="N65" s="6"/>
    </row>
    <row r="66" spans="4:14" ht="12.75">
      <c r="D66" s="17"/>
      <c r="E66" s="17"/>
      <c r="F66" s="17"/>
      <c r="G66" s="17"/>
      <c r="H66" s="23"/>
      <c r="I66" s="34"/>
      <c r="J66" s="36"/>
      <c r="K66" s="20"/>
      <c r="L66" s="20"/>
      <c r="M66" s="86"/>
      <c r="N66" s="6"/>
    </row>
    <row r="67" spans="2:14" ht="12.75">
      <c r="B67" s="1" t="s">
        <v>149</v>
      </c>
      <c r="D67" s="17"/>
      <c r="E67" s="17"/>
      <c r="F67" s="17"/>
      <c r="G67" s="17"/>
      <c r="H67" s="34">
        <v>6410</v>
      </c>
      <c r="I67" s="34" t="s">
        <v>7</v>
      </c>
      <c r="J67" s="48">
        <v>0.2</v>
      </c>
      <c r="K67" s="34">
        <f>+H67*J67</f>
        <v>1282</v>
      </c>
      <c r="L67" s="34"/>
      <c r="M67" s="86">
        <v>17</v>
      </c>
      <c r="N67" s="6"/>
    </row>
    <row r="68" spans="2:14" ht="12.75">
      <c r="B68" s="1" t="s">
        <v>65</v>
      </c>
      <c r="D68" s="17"/>
      <c r="E68" s="17"/>
      <c r="F68" s="17"/>
      <c r="G68" s="17"/>
      <c r="H68" s="34">
        <v>8520</v>
      </c>
      <c r="I68" s="34" t="s">
        <v>7</v>
      </c>
      <c r="J68" s="48">
        <v>0.2</v>
      </c>
      <c r="K68" s="34">
        <f>+H68*J68</f>
        <v>1704</v>
      </c>
      <c r="L68" s="34"/>
      <c r="M68" s="86">
        <v>17</v>
      </c>
      <c r="N68" s="6"/>
    </row>
    <row r="69" spans="4:14" ht="13.5" thickBot="1">
      <c r="D69" s="17"/>
      <c r="E69" s="17"/>
      <c r="F69" s="17"/>
      <c r="G69" s="17"/>
      <c r="H69" s="85">
        <f>SUM(H67:H68)</f>
        <v>14930</v>
      </c>
      <c r="I69" s="34"/>
      <c r="J69" s="21"/>
      <c r="K69" s="40">
        <f>+K67+K68</f>
        <v>2986</v>
      </c>
      <c r="L69" s="20"/>
      <c r="M69" s="86"/>
      <c r="N69" s="6"/>
    </row>
    <row r="70" spans="1:14" ht="12.75">
      <c r="A70" s="1" t="s">
        <v>19</v>
      </c>
      <c r="D70" s="17"/>
      <c r="E70" s="17"/>
      <c r="F70" s="17"/>
      <c r="G70" s="17"/>
      <c r="H70" s="23"/>
      <c r="I70" s="17"/>
      <c r="J70" s="34"/>
      <c r="K70" s="35"/>
      <c r="L70" s="35"/>
      <c r="M70" s="86"/>
      <c r="N70" s="6"/>
    </row>
    <row r="71" spans="2:14" ht="12.75">
      <c r="B71" s="1" t="s">
        <v>45</v>
      </c>
      <c r="C71" s="14">
        <v>10</v>
      </c>
      <c r="D71" s="17" t="s">
        <v>46</v>
      </c>
      <c r="E71" s="17"/>
      <c r="F71" s="17"/>
      <c r="G71" s="17"/>
      <c r="K71" s="35"/>
      <c r="L71" s="35"/>
      <c r="M71" s="86"/>
      <c r="N71" s="6"/>
    </row>
    <row r="72" spans="2:14" ht="12.75">
      <c r="B72" s="1" t="s">
        <v>47</v>
      </c>
      <c r="C72" s="14">
        <v>1</v>
      </c>
      <c r="D72" s="17" t="s">
        <v>43</v>
      </c>
      <c r="E72" s="26" t="s">
        <v>41</v>
      </c>
      <c r="F72" s="18" t="s">
        <v>44</v>
      </c>
      <c r="G72" s="17"/>
      <c r="H72" s="23"/>
      <c r="I72" s="17"/>
      <c r="J72" s="34"/>
      <c r="K72" s="35"/>
      <c r="L72" s="35"/>
      <c r="M72" s="86"/>
      <c r="N72" s="6"/>
    </row>
    <row r="73" spans="4:14" ht="12.75">
      <c r="D73" s="17"/>
      <c r="E73" s="17"/>
      <c r="F73" s="17"/>
      <c r="G73" s="17"/>
      <c r="H73" s="23"/>
      <c r="I73" s="17"/>
      <c r="J73" s="34"/>
      <c r="K73" s="35"/>
      <c r="L73" s="35"/>
      <c r="M73" s="86"/>
      <c r="N73" s="6"/>
    </row>
    <row r="74" spans="2:14" ht="13.5" thickBot="1">
      <c r="B74" s="1" t="s">
        <v>20</v>
      </c>
      <c r="D74" s="17"/>
      <c r="E74" s="17"/>
      <c r="F74" s="17"/>
      <c r="G74" s="17"/>
      <c r="H74" s="34">
        <v>6900</v>
      </c>
      <c r="I74" s="34" t="s">
        <v>7</v>
      </c>
      <c r="J74" s="21" t="s">
        <v>44</v>
      </c>
      <c r="K74" s="19">
        <f>+H74/10</f>
        <v>690</v>
      </c>
      <c r="L74" s="20"/>
      <c r="M74" s="86">
        <v>17</v>
      </c>
      <c r="N74" s="6"/>
    </row>
    <row r="75" spans="4:14" ht="12.75">
      <c r="D75" s="17"/>
      <c r="E75" s="17"/>
      <c r="F75" s="17"/>
      <c r="G75" s="17"/>
      <c r="H75" s="34"/>
      <c r="I75" s="17"/>
      <c r="J75" s="34"/>
      <c r="K75" s="35"/>
      <c r="L75" s="35"/>
      <c r="M75" s="86"/>
      <c r="N75" s="6"/>
    </row>
    <row r="76" spans="1:14" ht="13.5" thickBot="1">
      <c r="A76" s="1" t="s">
        <v>48</v>
      </c>
      <c r="D76" s="17"/>
      <c r="E76" s="17"/>
      <c r="F76" s="17"/>
      <c r="G76" s="17"/>
      <c r="H76" s="34">
        <v>27000</v>
      </c>
      <c r="I76" s="34" t="s">
        <v>7</v>
      </c>
      <c r="J76" s="21" t="s">
        <v>69</v>
      </c>
      <c r="K76" s="19">
        <v>5400</v>
      </c>
      <c r="L76" s="20"/>
      <c r="M76" s="86">
        <v>23</v>
      </c>
      <c r="N76" s="6"/>
    </row>
    <row r="77" spans="4:14" ht="12.75">
      <c r="D77" s="17"/>
      <c r="E77" s="17"/>
      <c r="F77" s="17"/>
      <c r="G77" s="17"/>
      <c r="H77" s="23"/>
      <c r="I77" s="17"/>
      <c r="J77" s="34"/>
      <c r="K77" s="35"/>
      <c r="L77" s="35"/>
      <c r="M77" s="86"/>
      <c r="N77" s="6"/>
    </row>
    <row r="78" spans="1:14" ht="12.75">
      <c r="A78" s="11" t="s">
        <v>49</v>
      </c>
      <c r="D78" s="17"/>
      <c r="E78" s="17"/>
      <c r="F78" s="17"/>
      <c r="G78" s="17"/>
      <c r="H78" s="23"/>
      <c r="I78" s="17"/>
      <c r="J78" s="34"/>
      <c r="K78" s="35"/>
      <c r="L78" s="35"/>
      <c r="M78" s="86"/>
      <c r="N78" s="6"/>
    </row>
    <row r="79" spans="4:14" ht="12.75">
      <c r="D79" s="17"/>
      <c r="E79" s="17"/>
      <c r="F79" s="17"/>
      <c r="G79" s="17"/>
      <c r="H79" s="23"/>
      <c r="I79" s="17"/>
      <c r="J79" s="34"/>
      <c r="K79" s="35"/>
      <c r="L79" s="35"/>
      <c r="M79" s="86"/>
      <c r="N79" s="6"/>
    </row>
    <row r="80" spans="1:14" ht="12.75">
      <c r="A80" s="1" t="s">
        <v>50</v>
      </c>
      <c r="C80" s="1" t="s">
        <v>51</v>
      </c>
      <c r="D80" s="17"/>
      <c r="E80" s="17"/>
      <c r="F80" s="17"/>
      <c r="G80" s="17"/>
      <c r="H80" s="23"/>
      <c r="I80" s="17"/>
      <c r="J80" s="34"/>
      <c r="K80" s="34">
        <f>+D26</f>
        <v>72540</v>
      </c>
      <c r="L80" s="34"/>
      <c r="M80" s="86">
        <v>7</v>
      </c>
      <c r="N80" s="6"/>
    </row>
    <row r="81" spans="4:14" ht="12.75">
      <c r="D81" s="17"/>
      <c r="E81" s="17"/>
      <c r="F81" s="17"/>
      <c r="G81" s="17"/>
      <c r="H81" s="23"/>
      <c r="I81" s="17"/>
      <c r="J81" s="34"/>
      <c r="K81" s="35"/>
      <c r="L81" s="35"/>
      <c r="M81" s="86"/>
      <c r="N81" s="6"/>
    </row>
    <row r="82" spans="1:14" ht="12.75">
      <c r="A82" s="1" t="s">
        <v>52</v>
      </c>
      <c r="D82" s="17"/>
      <c r="E82" s="17"/>
      <c r="F82" s="17"/>
      <c r="G82" s="17"/>
      <c r="H82" s="23"/>
      <c r="I82" s="17"/>
      <c r="J82" s="34"/>
      <c r="K82" s="35"/>
      <c r="L82" s="35"/>
      <c r="M82" s="86"/>
      <c r="N82" s="6"/>
    </row>
    <row r="83" spans="2:14" ht="12.75">
      <c r="B83" s="1" t="s">
        <v>53</v>
      </c>
      <c r="D83" s="17"/>
      <c r="E83" s="17"/>
      <c r="F83" s="17"/>
      <c r="G83" s="17"/>
      <c r="H83" s="23"/>
      <c r="I83" s="17"/>
      <c r="J83" s="34">
        <f>+K58</f>
        <v>12280</v>
      </c>
      <c r="K83" s="35"/>
      <c r="L83" s="35"/>
      <c r="M83" s="86"/>
      <c r="N83" s="6"/>
    </row>
    <row r="84" spans="2:14" ht="12.75">
      <c r="B84" s="1" t="s">
        <v>17</v>
      </c>
      <c r="D84" s="17"/>
      <c r="E84" s="17"/>
      <c r="F84" s="17"/>
      <c r="G84" s="17"/>
      <c r="H84" s="23"/>
      <c r="I84" s="17"/>
      <c r="J84" s="34">
        <f>+K65</f>
        <v>2262.5</v>
      </c>
      <c r="K84" s="35"/>
      <c r="L84" s="35"/>
      <c r="M84" s="86"/>
      <c r="N84" s="6"/>
    </row>
    <row r="85" spans="2:14" ht="12.75">
      <c r="B85" s="1" t="s">
        <v>54</v>
      </c>
      <c r="D85" s="17"/>
      <c r="E85" s="17"/>
      <c r="F85" s="17"/>
      <c r="G85" s="17"/>
      <c r="H85" s="23"/>
      <c r="I85" s="17"/>
      <c r="J85" s="34">
        <f>+K69</f>
        <v>2986</v>
      </c>
      <c r="K85" s="35"/>
      <c r="L85" s="35"/>
      <c r="M85" s="86"/>
      <c r="N85" s="6"/>
    </row>
    <row r="86" spans="2:14" ht="12.75">
      <c r="B86" s="1" t="s">
        <v>20</v>
      </c>
      <c r="D86" s="17"/>
      <c r="E86" s="17"/>
      <c r="F86" s="17"/>
      <c r="G86" s="17"/>
      <c r="H86" s="23"/>
      <c r="I86" s="17"/>
      <c r="J86" s="34">
        <f>+K74</f>
        <v>690</v>
      </c>
      <c r="K86" s="35"/>
      <c r="L86" s="35"/>
      <c r="M86" s="86"/>
      <c r="N86" s="6"/>
    </row>
    <row r="87" spans="2:14" ht="12.75">
      <c r="B87" s="1" t="s">
        <v>48</v>
      </c>
      <c r="D87" s="17"/>
      <c r="E87" s="17"/>
      <c r="F87" s="17"/>
      <c r="G87" s="17"/>
      <c r="H87" s="23"/>
      <c r="I87" s="17"/>
      <c r="J87" s="22">
        <f>+K76</f>
        <v>5400</v>
      </c>
      <c r="K87" s="34">
        <f>SUM(J83:J87)</f>
        <v>23618.5</v>
      </c>
      <c r="L87" s="34"/>
      <c r="M87" s="86"/>
      <c r="N87" s="6"/>
    </row>
    <row r="88" spans="4:14" ht="13.5" thickBot="1">
      <c r="D88" s="17"/>
      <c r="E88" s="17"/>
      <c r="F88" s="17"/>
      <c r="G88" s="17"/>
      <c r="H88" s="23"/>
      <c r="I88" s="17"/>
      <c r="J88" s="34"/>
      <c r="K88" s="40">
        <f>+K80+K87</f>
        <v>96158.5</v>
      </c>
      <c r="L88" s="20"/>
      <c r="M88" s="86"/>
      <c r="N88" s="6"/>
    </row>
    <row r="89" spans="4:14" ht="12.75">
      <c r="D89" s="17"/>
      <c r="E89" s="17"/>
      <c r="F89" s="17"/>
      <c r="G89" s="17"/>
      <c r="H89" s="23"/>
      <c r="I89" s="17"/>
      <c r="J89" s="34"/>
      <c r="K89" s="35"/>
      <c r="L89" s="35"/>
      <c r="M89" s="86"/>
      <c r="N89" s="6"/>
    </row>
    <row r="90" spans="1:14" ht="12.75">
      <c r="A90" s="1" t="s">
        <v>143</v>
      </c>
      <c r="D90" s="17"/>
      <c r="E90" s="17"/>
      <c r="F90" s="17"/>
      <c r="G90" s="17"/>
      <c r="H90" s="23"/>
      <c r="I90" s="17"/>
      <c r="J90" s="34"/>
      <c r="K90" s="35"/>
      <c r="L90" s="35"/>
      <c r="M90" s="86"/>
      <c r="N90" s="6"/>
    </row>
    <row r="91" spans="2:14" ht="12.75">
      <c r="B91" s="1" t="s">
        <v>55</v>
      </c>
      <c r="D91" s="21" t="s">
        <v>2</v>
      </c>
      <c r="E91" s="18">
        <f>+E29+F30</f>
        <v>1687000</v>
      </c>
      <c r="F91" s="17"/>
      <c r="G91" s="17"/>
      <c r="H91" s="23"/>
      <c r="I91" s="17"/>
      <c r="J91" s="34"/>
      <c r="K91" s="35"/>
      <c r="L91" s="35"/>
      <c r="M91" s="86" t="s">
        <v>142</v>
      </c>
      <c r="N91" s="6"/>
    </row>
    <row r="92" spans="2:14" ht="15.75" thickBot="1">
      <c r="B92" s="1" t="s">
        <v>56</v>
      </c>
      <c r="D92" s="21" t="s">
        <v>2</v>
      </c>
      <c r="E92" s="18">
        <f>+K88</f>
        <v>96158.5</v>
      </c>
      <c r="F92" s="37"/>
      <c r="G92" s="21" t="s">
        <v>2</v>
      </c>
      <c r="H92" s="23">
        <f>+E91</f>
        <v>1687000</v>
      </c>
      <c r="I92" s="26" t="s">
        <v>41</v>
      </c>
      <c r="J92" s="38">
        <f>+E92/H92</f>
        <v>0.05699970361588619</v>
      </c>
      <c r="K92" s="39" t="s">
        <v>114</v>
      </c>
      <c r="L92" s="88"/>
      <c r="M92" s="86"/>
      <c r="N92" s="6"/>
    </row>
    <row r="93" spans="4:14" ht="12.75">
      <c r="D93" s="17"/>
      <c r="E93" s="17"/>
      <c r="F93" s="17"/>
      <c r="G93" s="17"/>
      <c r="H93" s="23"/>
      <c r="I93" s="17"/>
      <c r="J93" s="21"/>
      <c r="K93" s="35"/>
      <c r="L93" s="35"/>
      <c r="M93" s="86"/>
      <c r="N93" s="6"/>
    </row>
    <row r="94" spans="1:14" ht="12.75">
      <c r="A94" s="11" t="s">
        <v>57</v>
      </c>
      <c r="D94" s="97" t="s">
        <v>60</v>
      </c>
      <c r="E94" s="97"/>
      <c r="F94" s="23"/>
      <c r="G94" s="97" t="s">
        <v>61</v>
      </c>
      <c r="H94" s="97"/>
      <c r="I94" s="17"/>
      <c r="J94" s="97" t="s">
        <v>59</v>
      </c>
      <c r="K94" s="97"/>
      <c r="L94" s="23"/>
      <c r="M94" s="86"/>
      <c r="N94" s="6"/>
    </row>
    <row r="95" spans="4:14" ht="12.75">
      <c r="D95" s="23" t="s">
        <v>23</v>
      </c>
      <c r="E95" s="23" t="s">
        <v>58</v>
      </c>
      <c r="F95" s="17"/>
      <c r="G95" s="23" t="s">
        <v>23</v>
      </c>
      <c r="H95" s="23" t="s">
        <v>58</v>
      </c>
      <c r="I95" s="17"/>
      <c r="J95" s="23" t="s">
        <v>23</v>
      </c>
      <c r="K95" s="23" t="s">
        <v>58</v>
      </c>
      <c r="L95" s="23"/>
      <c r="M95" s="86"/>
      <c r="N95" s="6"/>
    </row>
    <row r="96" spans="4:14" ht="12.75">
      <c r="D96" s="17"/>
      <c r="E96" s="17"/>
      <c r="F96" s="17"/>
      <c r="G96" s="26" t="s">
        <v>2</v>
      </c>
      <c r="H96" s="26" t="s">
        <v>2</v>
      </c>
      <c r="I96" s="17"/>
      <c r="J96" s="26" t="s">
        <v>2</v>
      </c>
      <c r="K96" s="26" t="s">
        <v>2</v>
      </c>
      <c r="L96" s="26"/>
      <c r="M96" s="86"/>
      <c r="N96" s="6"/>
    </row>
    <row r="97" spans="1:14" ht="12.75">
      <c r="A97" s="1" t="s">
        <v>62</v>
      </c>
      <c r="D97" s="17">
        <f>+E33</f>
        <v>52000</v>
      </c>
      <c r="E97" s="17">
        <f>+F33</f>
        <v>50000</v>
      </c>
      <c r="F97" s="17"/>
      <c r="G97" s="17">
        <f>+E29</f>
        <v>1287000</v>
      </c>
      <c r="H97" s="23">
        <f>+F30</f>
        <v>400000</v>
      </c>
      <c r="I97" s="17"/>
      <c r="J97" s="36">
        <f>+G97/D97</f>
        <v>24.75</v>
      </c>
      <c r="K97" s="36">
        <f>+H97/E97</f>
        <v>8</v>
      </c>
      <c r="L97" s="36"/>
      <c r="M97" s="86" t="s">
        <v>142</v>
      </c>
      <c r="N97" s="6"/>
    </row>
    <row r="98" spans="1:14" ht="12.75">
      <c r="A98" s="1" t="s">
        <v>152</v>
      </c>
      <c r="D98" s="17"/>
      <c r="E98" s="17"/>
      <c r="F98" s="17"/>
      <c r="G98" s="17">
        <v>1600</v>
      </c>
      <c r="H98" s="23"/>
      <c r="I98" s="17"/>
      <c r="J98" s="36">
        <v>0.03</v>
      </c>
      <c r="K98" s="48" t="s">
        <v>4</v>
      </c>
      <c r="L98" s="48"/>
      <c r="M98" s="86">
        <v>12</v>
      </c>
      <c r="N98" s="6"/>
    </row>
    <row r="99" spans="1:14" ht="12.75">
      <c r="A99" s="1" t="s">
        <v>125</v>
      </c>
      <c r="D99" s="17"/>
      <c r="E99" s="17"/>
      <c r="F99" s="17"/>
      <c r="G99" s="17"/>
      <c r="H99" s="23"/>
      <c r="I99" s="17"/>
      <c r="J99" s="36">
        <f>+J97*J92</f>
        <v>1.410742664493183</v>
      </c>
      <c r="K99" s="36">
        <f>+K97*J92</f>
        <v>0.4559976289270895</v>
      </c>
      <c r="L99" s="36"/>
      <c r="M99" s="86"/>
      <c r="N99" s="6"/>
    </row>
    <row r="100" spans="4:14" ht="13.5" thickBot="1">
      <c r="D100" s="17"/>
      <c r="E100" s="17"/>
      <c r="F100" s="17"/>
      <c r="G100" s="17"/>
      <c r="H100" s="23"/>
      <c r="I100" s="17"/>
      <c r="J100" s="41">
        <f>+J97+J99+J98</f>
        <v>26.190742664493186</v>
      </c>
      <c r="K100" s="41">
        <f>+K97+K99</f>
        <v>8.45599762892709</v>
      </c>
      <c r="L100" s="61"/>
      <c r="M100" s="86"/>
      <c r="N100" s="6"/>
    </row>
    <row r="101" spans="4:14" s="64" customFormat="1" ht="11.25">
      <c r="D101" s="65"/>
      <c r="E101" s="65"/>
      <c r="F101" s="65"/>
      <c r="G101" s="65"/>
      <c r="H101" s="74"/>
      <c r="I101" s="65"/>
      <c r="J101" s="80"/>
      <c r="K101" s="81"/>
      <c r="L101" s="81"/>
      <c r="M101" s="87"/>
      <c r="N101" s="69"/>
    </row>
    <row r="102" spans="1:14" ht="13.5" thickBot="1">
      <c r="A102" s="1" t="s">
        <v>159</v>
      </c>
      <c r="D102" s="17"/>
      <c r="E102" s="17"/>
      <c r="F102" s="17"/>
      <c r="G102" s="17"/>
      <c r="H102" s="23"/>
      <c r="I102" s="17"/>
      <c r="J102" s="42">
        <f>+E39</f>
        <v>25.814235328986367</v>
      </c>
      <c r="K102" s="42">
        <f>+F39</f>
        <v>8.343995257854179</v>
      </c>
      <c r="L102" s="79"/>
      <c r="M102" s="86">
        <v>7</v>
      </c>
      <c r="N102" s="6"/>
    </row>
    <row r="103" spans="4:14" s="64" customFormat="1" ht="11.25">
      <c r="D103" s="65"/>
      <c r="E103" s="65"/>
      <c r="F103" s="65"/>
      <c r="G103" s="65"/>
      <c r="H103" s="74"/>
      <c r="I103" s="65"/>
      <c r="J103" s="82"/>
      <c r="K103" s="82"/>
      <c r="L103" s="82"/>
      <c r="M103" s="87"/>
      <c r="N103" s="69"/>
    </row>
    <row r="104" spans="1:14" ht="13.5" thickBot="1">
      <c r="A104" s="1" t="s">
        <v>160</v>
      </c>
      <c r="D104" s="17"/>
      <c r="E104" s="17"/>
      <c r="F104" s="17"/>
      <c r="G104" s="17"/>
      <c r="H104" s="23"/>
      <c r="I104" s="17"/>
      <c r="J104" s="42">
        <f>J100-J102</f>
        <v>0.3765073355068189</v>
      </c>
      <c r="K104" s="42">
        <v>0.12</v>
      </c>
      <c r="L104" s="79"/>
      <c r="M104" s="86"/>
      <c r="N104" s="6"/>
    </row>
    <row r="105" spans="1:14" ht="15.75">
      <c r="A105" s="90" t="s">
        <v>37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6"/>
    </row>
    <row r="106" spans="1:14" ht="12.75">
      <c r="A106" s="89" t="s">
        <v>111</v>
      </c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6"/>
    </row>
    <row r="107" spans="1:14" ht="12.75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6"/>
    </row>
    <row r="108" spans="1:14" ht="12.75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6"/>
    </row>
    <row r="109" spans="10:14" ht="12.75">
      <c r="J109" s="8"/>
      <c r="K109" s="8"/>
      <c r="L109" s="8"/>
      <c r="N109" s="6"/>
    </row>
    <row r="110" spans="10:14" ht="12.75">
      <c r="J110" s="8"/>
      <c r="K110" s="4"/>
      <c r="L110" s="4"/>
      <c r="M110" s="4" t="s">
        <v>5</v>
      </c>
      <c r="N110" s="6"/>
    </row>
    <row r="111" spans="1:14" ht="12.75">
      <c r="A111" s="11" t="s">
        <v>169</v>
      </c>
      <c r="J111" s="8"/>
      <c r="K111" s="4"/>
      <c r="L111" s="4"/>
      <c r="M111" s="77"/>
      <c r="N111" s="6"/>
    </row>
    <row r="112" spans="4:14" ht="12.75">
      <c r="D112" s="2"/>
      <c r="G112" s="2"/>
      <c r="H112" s="2" t="s">
        <v>2</v>
      </c>
      <c r="I112" s="2"/>
      <c r="K112" s="2" t="s">
        <v>2</v>
      </c>
      <c r="L112" s="2"/>
      <c r="M112" s="77"/>
      <c r="N112" s="6"/>
    </row>
    <row r="113" spans="1:14" ht="12.75">
      <c r="A113" s="13" t="s">
        <v>38</v>
      </c>
      <c r="D113" s="2"/>
      <c r="H113" s="2"/>
      <c r="J113" s="2"/>
      <c r="K113" s="4"/>
      <c r="L113" s="4"/>
      <c r="M113" s="77"/>
      <c r="N113" s="6"/>
    </row>
    <row r="114" spans="1:14" ht="12.75">
      <c r="A114" s="13"/>
      <c r="B114" s="1" t="s">
        <v>11</v>
      </c>
      <c r="D114" s="2"/>
      <c r="H114" s="26">
        <f>+D5</f>
        <v>32400</v>
      </c>
      <c r="I114" s="34" t="s">
        <v>7</v>
      </c>
      <c r="J114" s="31">
        <v>0.2</v>
      </c>
      <c r="K114" s="34">
        <f>+H114*1.2</f>
        <v>38880</v>
      </c>
      <c r="L114" s="34"/>
      <c r="M114" s="86">
        <v>13</v>
      </c>
      <c r="N114" s="6"/>
    </row>
    <row r="115" spans="1:14" ht="12.75">
      <c r="A115" s="13"/>
      <c r="B115" s="1" t="s">
        <v>12</v>
      </c>
      <c r="D115" s="2"/>
      <c r="H115" s="26">
        <f>+D6</f>
        <v>15500</v>
      </c>
      <c r="I115" s="34" t="s">
        <v>7</v>
      </c>
      <c r="J115" s="31">
        <v>0.2</v>
      </c>
      <c r="K115" s="34">
        <f>+H115*1.2</f>
        <v>18600</v>
      </c>
      <c r="L115" s="34"/>
      <c r="M115" s="86">
        <v>13</v>
      </c>
      <c r="N115" s="6"/>
    </row>
    <row r="116" spans="2:14" ht="12.75">
      <c r="B116" s="1" t="s">
        <v>13</v>
      </c>
      <c r="C116" s="16"/>
      <c r="D116" s="17"/>
      <c r="E116" s="34"/>
      <c r="F116" s="31"/>
      <c r="G116" s="17"/>
      <c r="H116" s="26">
        <f>+D7</f>
        <v>13500</v>
      </c>
      <c r="I116" s="34" t="s">
        <v>7</v>
      </c>
      <c r="J116" s="31">
        <v>0.2</v>
      </c>
      <c r="K116" s="34">
        <f>+H116*1.2</f>
        <v>16200</v>
      </c>
      <c r="L116" s="34"/>
      <c r="M116" s="86">
        <v>13</v>
      </c>
      <c r="N116" s="6"/>
    </row>
    <row r="117" spans="4:14" ht="13.5" thickBot="1">
      <c r="D117" s="17"/>
      <c r="E117" s="17"/>
      <c r="F117" s="17"/>
      <c r="G117" s="17"/>
      <c r="H117" s="23"/>
      <c r="I117" s="17"/>
      <c r="J117" s="34"/>
      <c r="K117" s="40">
        <f>SUM(K114:K116)</f>
        <v>73680</v>
      </c>
      <c r="L117" s="20"/>
      <c r="M117" s="86"/>
      <c r="N117" s="6"/>
    </row>
    <row r="118" spans="1:14" ht="12.75">
      <c r="A118" s="13" t="s">
        <v>16</v>
      </c>
      <c r="D118" s="17"/>
      <c r="E118" s="17"/>
      <c r="F118" s="17"/>
      <c r="G118" s="17"/>
      <c r="H118" s="23"/>
      <c r="I118" s="17"/>
      <c r="J118" s="34"/>
      <c r="K118" s="35"/>
      <c r="L118" s="35"/>
      <c r="M118" s="86"/>
      <c r="N118" s="6"/>
    </row>
    <row r="119" spans="1:14" ht="12.75">
      <c r="A119" s="13"/>
      <c r="B119" s="1" t="s">
        <v>39</v>
      </c>
      <c r="C119" s="14">
        <v>2625</v>
      </c>
      <c r="D119" s="17" t="s">
        <v>42</v>
      </c>
      <c r="E119" s="17"/>
      <c r="F119" s="17"/>
      <c r="G119" s="17"/>
      <c r="H119" s="23"/>
      <c r="I119" s="17"/>
      <c r="J119" s="34"/>
      <c r="K119" s="35"/>
      <c r="L119" s="35"/>
      <c r="M119" s="86">
        <v>17</v>
      </c>
      <c r="N119" s="6"/>
    </row>
    <row r="120" spans="1:14" ht="12.75">
      <c r="A120" s="13"/>
      <c r="B120" s="1" t="s">
        <v>40</v>
      </c>
      <c r="C120" s="14">
        <v>525</v>
      </c>
      <c r="D120" s="17" t="s">
        <v>42</v>
      </c>
      <c r="E120" s="26" t="s">
        <v>41</v>
      </c>
      <c r="F120" s="18" t="s">
        <v>69</v>
      </c>
      <c r="G120" s="17"/>
      <c r="H120" s="23"/>
      <c r="I120" s="17"/>
      <c r="J120" s="34"/>
      <c r="K120" s="35"/>
      <c r="L120" s="35"/>
      <c r="M120" s="86">
        <v>17</v>
      </c>
      <c r="N120" s="6"/>
    </row>
    <row r="121" spans="1:14" ht="12.75">
      <c r="A121" s="13"/>
      <c r="D121" s="17"/>
      <c r="E121" s="26"/>
      <c r="F121" s="18"/>
      <c r="G121" s="17"/>
      <c r="H121" s="23"/>
      <c r="I121" s="17"/>
      <c r="J121" s="34"/>
      <c r="K121" s="35"/>
      <c r="L121" s="35"/>
      <c r="M121" s="86"/>
      <c r="N121" s="6"/>
    </row>
    <row r="122" spans="1:14" ht="12.75">
      <c r="A122" s="13"/>
      <c r="B122" s="1" t="s">
        <v>17</v>
      </c>
      <c r="C122" s="14">
        <f>+C120</f>
        <v>525</v>
      </c>
      <c r="D122" s="17" t="s">
        <v>42</v>
      </c>
      <c r="E122" s="26"/>
      <c r="F122" s="18"/>
      <c r="G122" s="17"/>
      <c r="H122" s="23"/>
      <c r="I122" s="34" t="s">
        <v>7</v>
      </c>
      <c r="J122" s="36">
        <v>4.5</v>
      </c>
      <c r="K122" s="20">
        <f>+C122*J122</f>
        <v>2362.5</v>
      </c>
      <c r="L122" s="20"/>
      <c r="M122" s="86">
        <v>17</v>
      </c>
      <c r="N122" s="6"/>
    </row>
    <row r="123" spans="2:14" ht="12.75">
      <c r="B123" s="1" t="s">
        <v>149</v>
      </c>
      <c r="D123" s="17"/>
      <c r="E123" s="17"/>
      <c r="F123" s="17"/>
      <c r="G123" s="17"/>
      <c r="H123" s="34">
        <v>6410</v>
      </c>
      <c r="I123" s="34" t="s">
        <v>7</v>
      </c>
      <c r="J123" s="48">
        <v>0.2</v>
      </c>
      <c r="K123" s="34">
        <f>+H123*J123</f>
        <v>1282</v>
      </c>
      <c r="L123" s="34"/>
      <c r="M123" s="86">
        <v>17</v>
      </c>
      <c r="N123" s="6"/>
    </row>
    <row r="124" spans="2:14" ht="12.75">
      <c r="B124" s="1" t="s">
        <v>65</v>
      </c>
      <c r="D124" s="17"/>
      <c r="E124" s="17"/>
      <c r="F124" s="17"/>
      <c r="G124" s="17"/>
      <c r="H124" s="34">
        <v>8520</v>
      </c>
      <c r="I124" s="34" t="s">
        <v>7</v>
      </c>
      <c r="J124" s="48">
        <v>0.2</v>
      </c>
      <c r="K124" s="34">
        <f>+H124*J124</f>
        <v>1704</v>
      </c>
      <c r="L124" s="34"/>
      <c r="M124" s="86">
        <v>17</v>
      </c>
      <c r="N124" s="6"/>
    </row>
    <row r="125" spans="4:14" ht="13.5" thickBot="1">
      <c r="D125" s="17"/>
      <c r="E125" s="17"/>
      <c r="F125" s="17"/>
      <c r="G125" s="17"/>
      <c r="H125" s="85">
        <f>SUM(H123:H124)</f>
        <v>14930</v>
      </c>
      <c r="I125" s="34"/>
      <c r="J125" s="21"/>
      <c r="K125" s="40">
        <f>SUM(K122:K124)</f>
        <v>5348.5</v>
      </c>
      <c r="L125" s="20"/>
      <c r="M125" s="86"/>
      <c r="N125" s="6"/>
    </row>
    <row r="126" spans="1:14" ht="12.75">
      <c r="A126" s="13" t="s">
        <v>14</v>
      </c>
      <c r="D126" s="17"/>
      <c r="E126" s="17"/>
      <c r="F126" s="17"/>
      <c r="G126" s="17"/>
      <c r="H126" s="20"/>
      <c r="I126" s="34"/>
      <c r="J126" s="21"/>
      <c r="K126" s="20"/>
      <c r="L126" s="20"/>
      <c r="M126" s="86"/>
      <c r="N126" s="6"/>
    </row>
    <row r="127" spans="1:14" ht="12.75">
      <c r="A127" s="13"/>
      <c r="B127" s="1" t="s">
        <v>36</v>
      </c>
      <c r="D127" s="17"/>
      <c r="E127" s="17"/>
      <c r="F127" s="17"/>
      <c r="G127" s="17"/>
      <c r="H127" s="20"/>
      <c r="I127" s="34"/>
      <c r="J127" s="21"/>
      <c r="K127" s="20">
        <v>1500</v>
      </c>
      <c r="L127" s="20"/>
      <c r="M127" s="86"/>
      <c r="N127" s="6"/>
    </row>
    <row r="128" spans="2:14" ht="12.75">
      <c r="B128" s="1" t="s">
        <v>15</v>
      </c>
      <c r="D128" s="17"/>
      <c r="E128" s="17"/>
      <c r="F128" s="17"/>
      <c r="G128" s="17"/>
      <c r="H128" s="20"/>
      <c r="I128" s="34"/>
      <c r="J128" s="21"/>
      <c r="K128" s="20">
        <v>5040</v>
      </c>
      <c r="L128" s="20"/>
      <c r="M128" s="86">
        <v>7</v>
      </c>
      <c r="N128" s="6"/>
    </row>
    <row r="129" spans="4:14" ht="13.5" thickBot="1">
      <c r="D129" s="17"/>
      <c r="E129" s="17"/>
      <c r="F129" s="17"/>
      <c r="G129" s="17"/>
      <c r="H129" s="20"/>
      <c r="I129" s="34"/>
      <c r="J129" s="21"/>
      <c r="K129" s="40">
        <f>+K127+K128</f>
        <v>6540</v>
      </c>
      <c r="L129" s="20"/>
      <c r="M129" s="86"/>
      <c r="N129" s="6"/>
    </row>
    <row r="130" spans="1:14" ht="12.75">
      <c r="A130" s="13" t="s">
        <v>124</v>
      </c>
      <c r="D130" s="17"/>
      <c r="E130" s="17"/>
      <c r="F130" s="17"/>
      <c r="G130" s="17"/>
      <c r="H130" s="20"/>
      <c r="I130" s="34"/>
      <c r="J130" s="21"/>
      <c r="K130" s="20"/>
      <c r="L130" s="20"/>
      <c r="M130" s="86"/>
      <c r="N130" s="6"/>
    </row>
    <row r="131" spans="2:14" ht="13.5" thickBot="1">
      <c r="B131" s="1" t="s">
        <v>171</v>
      </c>
      <c r="D131" s="17"/>
      <c r="E131" s="17"/>
      <c r="F131" s="17"/>
      <c r="G131" s="17"/>
      <c r="H131" s="20"/>
      <c r="I131" s="34"/>
      <c r="J131" s="21"/>
      <c r="K131" s="19">
        <v>3500</v>
      </c>
      <c r="L131" s="20"/>
      <c r="M131" s="86">
        <v>7</v>
      </c>
      <c r="N131" s="6"/>
    </row>
    <row r="132" spans="1:14" ht="12.75">
      <c r="A132" s="13" t="s">
        <v>19</v>
      </c>
      <c r="D132" s="17"/>
      <c r="E132" s="17"/>
      <c r="F132" s="17"/>
      <c r="G132" s="17"/>
      <c r="H132" s="23"/>
      <c r="I132" s="17"/>
      <c r="J132" s="34"/>
      <c r="K132" s="35"/>
      <c r="L132" s="35"/>
      <c r="M132" s="86"/>
      <c r="N132" s="6"/>
    </row>
    <row r="133" spans="2:14" ht="12.75">
      <c r="B133" s="1" t="s">
        <v>45</v>
      </c>
      <c r="C133" s="14">
        <v>10</v>
      </c>
      <c r="D133" s="17" t="s">
        <v>46</v>
      </c>
      <c r="E133" s="17"/>
      <c r="F133" s="17"/>
      <c r="G133" s="17"/>
      <c r="K133" s="35"/>
      <c r="L133" s="35"/>
      <c r="M133" s="86"/>
      <c r="N133" s="6"/>
    </row>
    <row r="134" spans="2:14" ht="12.75">
      <c r="B134" s="1" t="s">
        <v>47</v>
      </c>
      <c r="C134" s="14">
        <v>1</v>
      </c>
      <c r="D134" s="17" t="s">
        <v>43</v>
      </c>
      <c r="E134" s="26" t="s">
        <v>41</v>
      </c>
      <c r="F134" s="18" t="s">
        <v>44</v>
      </c>
      <c r="G134" s="17"/>
      <c r="H134" s="23"/>
      <c r="I134" s="17"/>
      <c r="J134" s="34"/>
      <c r="K134" s="35"/>
      <c r="L134" s="35"/>
      <c r="M134" s="86"/>
      <c r="N134" s="6"/>
    </row>
    <row r="135" spans="2:14" ht="12.75">
      <c r="B135" s="1" t="s">
        <v>20</v>
      </c>
      <c r="D135" s="17"/>
      <c r="E135" s="17"/>
      <c r="F135" s="17"/>
      <c r="G135" s="17"/>
      <c r="H135" s="34">
        <v>6900</v>
      </c>
      <c r="I135" s="34" t="s">
        <v>7</v>
      </c>
      <c r="J135" s="21" t="s">
        <v>44</v>
      </c>
      <c r="K135" s="20">
        <f>+H135/10</f>
        <v>690</v>
      </c>
      <c r="L135" s="20"/>
      <c r="M135" s="86">
        <v>17</v>
      </c>
      <c r="N135" s="6"/>
    </row>
    <row r="136" spans="2:14" ht="12.75">
      <c r="B136" s="1" t="s">
        <v>172</v>
      </c>
      <c r="D136" s="17"/>
      <c r="E136" s="17"/>
      <c r="F136" s="17"/>
      <c r="G136" s="17"/>
      <c r="H136" s="34"/>
      <c r="I136" s="17"/>
      <c r="J136" s="34"/>
      <c r="K136" s="34">
        <v>1000</v>
      </c>
      <c r="L136" s="35"/>
      <c r="M136" s="86">
        <v>7</v>
      </c>
      <c r="N136" s="6"/>
    </row>
    <row r="137" spans="4:14" ht="13.5" thickBot="1">
      <c r="D137" s="17"/>
      <c r="E137" s="17"/>
      <c r="F137" s="17"/>
      <c r="G137" s="17"/>
      <c r="H137" s="34"/>
      <c r="I137" s="17"/>
      <c r="J137" s="34"/>
      <c r="K137" s="40">
        <f>+K135+K136</f>
        <v>1690</v>
      </c>
      <c r="L137" s="35"/>
      <c r="M137" s="86"/>
      <c r="N137" s="6"/>
    </row>
    <row r="138" spans="4:14" ht="12.75">
      <c r="D138" s="17"/>
      <c r="E138" s="17"/>
      <c r="F138" s="17"/>
      <c r="G138" s="17"/>
      <c r="H138" s="34"/>
      <c r="I138" s="17"/>
      <c r="J138" s="34"/>
      <c r="K138" s="35"/>
      <c r="L138" s="35"/>
      <c r="M138" s="86"/>
      <c r="N138" s="6"/>
    </row>
    <row r="139" spans="1:14" ht="13.5" thickBot="1">
      <c r="A139" s="1" t="s">
        <v>48</v>
      </c>
      <c r="D139" s="17"/>
      <c r="E139" s="17"/>
      <c r="F139" s="17"/>
      <c r="G139" s="17"/>
      <c r="H139" s="34">
        <v>27000</v>
      </c>
      <c r="I139" s="34" t="s">
        <v>7</v>
      </c>
      <c r="J139" s="21" t="s">
        <v>69</v>
      </c>
      <c r="K139" s="19">
        <v>5400</v>
      </c>
      <c r="L139" s="20"/>
      <c r="M139" s="86">
        <v>23</v>
      </c>
      <c r="N139" s="6"/>
    </row>
    <row r="140" spans="4:14" ht="12.75">
      <c r="D140" s="17"/>
      <c r="E140" s="17"/>
      <c r="F140" s="17"/>
      <c r="G140" s="17"/>
      <c r="H140" s="23"/>
      <c r="I140" s="17"/>
      <c r="J140" s="34"/>
      <c r="K140" s="35"/>
      <c r="L140" s="35"/>
      <c r="M140" s="86"/>
      <c r="N140" s="6"/>
    </row>
    <row r="141" spans="4:14" ht="13.5" thickBot="1">
      <c r="D141" s="17"/>
      <c r="E141" s="17"/>
      <c r="F141" s="17"/>
      <c r="G141" s="17"/>
      <c r="H141" s="23"/>
      <c r="I141" s="17"/>
      <c r="J141" s="34"/>
      <c r="K141" s="98">
        <f>+K117+K125+K129+K131+K137+K139</f>
        <v>96158.5</v>
      </c>
      <c r="L141" s="35"/>
      <c r="M141" s="86"/>
      <c r="N141" s="6"/>
    </row>
    <row r="142" spans="1:14" ht="13.5" thickTop="1">
      <c r="A142" s="1" t="s">
        <v>143</v>
      </c>
      <c r="D142" s="17"/>
      <c r="E142" s="17"/>
      <c r="F142" s="17"/>
      <c r="G142" s="17"/>
      <c r="H142" s="23"/>
      <c r="I142" s="17"/>
      <c r="J142" s="34"/>
      <c r="K142" s="35"/>
      <c r="L142" s="35"/>
      <c r="M142" s="86"/>
      <c r="N142" s="6"/>
    </row>
    <row r="143" spans="2:14" ht="12.75">
      <c r="B143" s="1" t="s">
        <v>55</v>
      </c>
      <c r="D143" s="21" t="s">
        <v>2</v>
      </c>
      <c r="E143" s="18">
        <f>+E29+F30</f>
        <v>1687000</v>
      </c>
      <c r="F143" s="17"/>
      <c r="G143" s="17"/>
      <c r="H143" s="23"/>
      <c r="I143" s="17"/>
      <c r="J143" s="34"/>
      <c r="K143" s="35"/>
      <c r="L143" s="35"/>
      <c r="M143" s="86" t="s">
        <v>142</v>
      </c>
      <c r="N143" s="6"/>
    </row>
    <row r="144" spans="2:14" ht="15.75" thickBot="1">
      <c r="B144" s="1" t="s">
        <v>56</v>
      </c>
      <c r="D144" s="21" t="s">
        <v>2</v>
      </c>
      <c r="E144" s="18">
        <f>+K88</f>
        <v>96158.5</v>
      </c>
      <c r="F144" s="37"/>
      <c r="G144" s="21" t="s">
        <v>2</v>
      </c>
      <c r="H144" s="23">
        <f>+E143</f>
        <v>1687000</v>
      </c>
      <c r="I144" s="26" t="s">
        <v>41</v>
      </c>
      <c r="J144" s="38">
        <f>+E144/H144</f>
        <v>0.05699970361588619</v>
      </c>
      <c r="K144" s="39" t="s">
        <v>114</v>
      </c>
      <c r="L144" s="88"/>
      <c r="M144" s="86"/>
      <c r="N144" s="6"/>
    </row>
    <row r="145" spans="4:14" ht="12.75">
      <c r="D145" s="17"/>
      <c r="E145" s="17"/>
      <c r="F145" s="17"/>
      <c r="G145" s="17"/>
      <c r="H145" s="23"/>
      <c r="I145" s="17"/>
      <c r="J145" s="21"/>
      <c r="K145" s="35"/>
      <c r="L145" s="35"/>
      <c r="M145" s="86"/>
      <c r="N145" s="6"/>
    </row>
    <row r="146" spans="1:14" ht="12.75">
      <c r="A146" s="11" t="s">
        <v>57</v>
      </c>
      <c r="D146" s="97" t="s">
        <v>60</v>
      </c>
      <c r="E146" s="97"/>
      <c r="F146" s="23"/>
      <c r="G146" s="97" t="s">
        <v>61</v>
      </c>
      <c r="H146" s="97"/>
      <c r="I146" s="17"/>
      <c r="J146" s="97" t="s">
        <v>59</v>
      </c>
      <c r="K146" s="97"/>
      <c r="L146" s="23"/>
      <c r="M146" s="86"/>
      <c r="N146" s="6"/>
    </row>
    <row r="147" spans="4:14" ht="12.75">
      <c r="D147" s="23" t="s">
        <v>23</v>
      </c>
      <c r="E147" s="23" t="s">
        <v>58</v>
      </c>
      <c r="F147" s="17"/>
      <c r="G147" s="23" t="s">
        <v>23</v>
      </c>
      <c r="H147" s="23" t="s">
        <v>58</v>
      </c>
      <c r="I147" s="17"/>
      <c r="J147" s="23" t="s">
        <v>23</v>
      </c>
      <c r="K147" s="23" t="s">
        <v>58</v>
      </c>
      <c r="L147" s="23"/>
      <c r="M147" s="86"/>
      <c r="N147" s="6"/>
    </row>
    <row r="148" spans="4:14" ht="12.75">
      <c r="D148" s="17"/>
      <c r="E148" s="17"/>
      <c r="F148" s="17"/>
      <c r="G148" s="26" t="s">
        <v>2</v>
      </c>
      <c r="H148" s="26" t="s">
        <v>2</v>
      </c>
      <c r="I148" s="17"/>
      <c r="J148" s="26" t="s">
        <v>2</v>
      </c>
      <c r="K148" s="26" t="s">
        <v>2</v>
      </c>
      <c r="L148" s="26"/>
      <c r="M148" s="86"/>
      <c r="N148" s="6"/>
    </row>
    <row r="149" spans="1:14" ht="12.75">
      <c r="A149" s="1" t="s">
        <v>62</v>
      </c>
      <c r="D149" s="17">
        <f>+E33</f>
        <v>52000</v>
      </c>
      <c r="E149" s="17">
        <f>+F33</f>
        <v>50000</v>
      </c>
      <c r="F149" s="17"/>
      <c r="G149" s="17">
        <f>+E29</f>
        <v>1287000</v>
      </c>
      <c r="H149" s="23">
        <f>+F30</f>
        <v>400000</v>
      </c>
      <c r="I149" s="17"/>
      <c r="J149" s="36">
        <f>+G149/D149</f>
        <v>24.75</v>
      </c>
      <c r="K149" s="36">
        <f>+H149/E149</f>
        <v>8</v>
      </c>
      <c r="L149" s="36"/>
      <c r="M149" s="86" t="s">
        <v>142</v>
      </c>
      <c r="N149" s="6"/>
    </row>
    <row r="150" spans="1:14" ht="12.75">
      <c r="A150" s="1" t="s">
        <v>152</v>
      </c>
      <c r="D150" s="17"/>
      <c r="E150" s="17"/>
      <c r="F150" s="17"/>
      <c r="G150" s="17">
        <v>1600</v>
      </c>
      <c r="H150" s="23"/>
      <c r="I150" s="17"/>
      <c r="J150" s="36">
        <v>0.03</v>
      </c>
      <c r="K150" s="48" t="s">
        <v>4</v>
      </c>
      <c r="L150" s="48"/>
      <c r="M150" s="86">
        <v>12</v>
      </c>
      <c r="N150" s="6"/>
    </row>
    <row r="151" spans="1:14" ht="12.75">
      <c r="A151" s="1" t="s">
        <v>125</v>
      </c>
      <c r="D151" s="17"/>
      <c r="E151" s="17"/>
      <c r="F151" s="17"/>
      <c r="G151" s="17"/>
      <c r="H151" s="23"/>
      <c r="I151" s="17"/>
      <c r="J151" s="36">
        <f>+J149*J144</f>
        <v>1.410742664493183</v>
      </c>
      <c r="K151" s="36">
        <f>+K149*J144</f>
        <v>0.4559976289270895</v>
      </c>
      <c r="L151" s="36"/>
      <c r="M151" s="86"/>
      <c r="N151" s="6"/>
    </row>
    <row r="152" spans="4:14" ht="13.5" thickBot="1">
      <c r="D152" s="17"/>
      <c r="E152" s="17"/>
      <c r="F152" s="17"/>
      <c r="G152" s="17"/>
      <c r="H152" s="23"/>
      <c r="I152" s="17"/>
      <c r="J152" s="41">
        <f>+J149+J151+J150</f>
        <v>26.190742664493186</v>
      </c>
      <c r="K152" s="41">
        <f>+K149+K151</f>
        <v>8.45599762892709</v>
      </c>
      <c r="L152" s="61"/>
      <c r="M152" s="86"/>
      <c r="N152" s="6"/>
    </row>
    <row r="153" spans="1:14" ht="12.75">
      <c r="A153" s="64"/>
      <c r="B153" s="64"/>
      <c r="C153" s="64"/>
      <c r="D153" s="65"/>
      <c r="E153" s="65"/>
      <c r="F153" s="65"/>
      <c r="G153" s="65"/>
      <c r="H153" s="74"/>
      <c r="I153" s="65"/>
      <c r="J153" s="80"/>
      <c r="K153" s="81"/>
      <c r="L153" s="81"/>
      <c r="M153" s="87"/>
      <c r="N153" s="6"/>
    </row>
    <row r="154" spans="1:14" ht="13.5" thickBot="1">
      <c r="A154" s="1" t="s">
        <v>159</v>
      </c>
      <c r="D154" s="17"/>
      <c r="E154" s="17"/>
      <c r="F154" s="17"/>
      <c r="G154" s="17"/>
      <c r="H154" s="23"/>
      <c r="I154" s="17"/>
      <c r="J154" s="42">
        <f>+E39</f>
        <v>25.814235328986367</v>
      </c>
      <c r="K154" s="42">
        <f>+F39</f>
        <v>8.343995257854179</v>
      </c>
      <c r="L154" s="79"/>
      <c r="M154" s="86">
        <v>7</v>
      </c>
      <c r="N154" s="6"/>
    </row>
    <row r="155" spans="1:14" ht="12.75">
      <c r="A155" s="64"/>
      <c r="B155" s="64"/>
      <c r="C155" s="64"/>
      <c r="D155" s="65"/>
      <c r="E155" s="65"/>
      <c r="F155" s="65"/>
      <c r="G155" s="65"/>
      <c r="H155" s="74"/>
      <c r="I155" s="65"/>
      <c r="J155" s="82"/>
      <c r="K155" s="82"/>
      <c r="L155" s="82"/>
      <c r="M155" s="87"/>
      <c r="N155" s="6"/>
    </row>
    <row r="156" spans="1:14" ht="13.5" thickBot="1">
      <c r="A156" s="1" t="s">
        <v>160</v>
      </c>
      <c r="D156" s="17"/>
      <c r="E156" s="17"/>
      <c r="F156" s="17"/>
      <c r="G156" s="17"/>
      <c r="H156" s="23"/>
      <c r="I156" s="17"/>
      <c r="J156" s="42">
        <f>J152-J154</f>
        <v>0.3765073355068189</v>
      </c>
      <c r="K156" s="42">
        <v>0.12</v>
      </c>
      <c r="L156" s="79"/>
      <c r="M156" s="86"/>
      <c r="N156" s="6"/>
    </row>
    <row r="157" spans="1:14" ht="15.75">
      <c r="A157" s="90" t="s">
        <v>63</v>
      </c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6"/>
    </row>
    <row r="158" spans="1:14" ht="12.75">
      <c r="A158" s="89" t="s">
        <v>111</v>
      </c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6"/>
    </row>
    <row r="159" spans="1:14" ht="18.75" customHeight="1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6"/>
    </row>
    <row r="160" spans="1:14" ht="12.75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6"/>
    </row>
    <row r="161" spans="10:14" ht="12.75">
      <c r="J161" s="8"/>
      <c r="K161" s="8"/>
      <c r="L161" s="8"/>
      <c r="M161" s="77"/>
      <c r="N161" s="6"/>
    </row>
    <row r="162" spans="10:14" ht="12.75">
      <c r="J162" s="8"/>
      <c r="K162" s="4"/>
      <c r="L162" s="4"/>
      <c r="M162" s="6" t="s">
        <v>5</v>
      </c>
      <c r="N162" s="6"/>
    </row>
    <row r="163" spans="1:14" ht="12.75">
      <c r="A163" s="11" t="s">
        <v>153</v>
      </c>
      <c r="J163" s="8"/>
      <c r="K163" s="4"/>
      <c r="L163" s="4"/>
      <c r="M163" s="77"/>
      <c r="N163" s="6"/>
    </row>
    <row r="164" spans="4:14" ht="12.75">
      <c r="D164" s="17"/>
      <c r="E164" s="17"/>
      <c r="F164" s="17"/>
      <c r="G164" s="17"/>
      <c r="H164" s="23"/>
      <c r="I164" s="17"/>
      <c r="J164" s="34"/>
      <c r="K164" s="35"/>
      <c r="L164" s="35"/>
      <c r="M164" s="77"/>
      <c r="N164" s="6"/>
    </row>
    <row r="165" spans="3:14" ht="12.75">
      <c r="C165" s="14"/>
      <c r="D165" s="23" t="s">
        <v>9</v>
      </c>
      <c r="E165" s="97" t="s">
        <v>64</v>
      </c>
      <c r="F165" s="97"/>
      <c r="G165" s="97"/>
      <c r="H165" s="97"/>
      <c r="I165" s="23" t="s">
        <v>23</v>
      </c>
      <c r="J165" s="23" t="s">
        <v>58</v>
      </c>
      <c r="K165" s="1" t="s">
        <v>1</v>
      </c>
      <c r="M165" s="77"/>
      <c r="N165" s="6"/>
    </row>
    <row r="166" spans="3:14" ht="12.75">
      <c r="C166" s="14"/>
      <c r="D166" s="23" t="s">
        <v>22</v>
      </c>
      <c r="E166" s="23"/>
      <c r="F166" s="23"/>
      <c r="G166" s="23"/>
      <c r="H166" s="23"/>
      <c r="I166" s="23" t="s">
        <v>8</v>
      </c>
      <c r="J166" s="23" t="s">
        <v>8</v>
      </c>
      <c r="K166" s="1" t="s">
        <v>8</v>
      </c>
      <c r="M166" s="77"/>
      <c r="N166" s="6"/>
    </row>
    <row r="167" spans="3:14" ht="12.75">
      <c r="C167" s="14"/>
      <c r="D167" s="23" t="s">
        <v>2</v>
      </c>
      <c r="E167" s="23"/>
      <c r="F167" s="23"/>
      <c r="G167" s="23"/>
      <c r="H167" s="23"/>
      <c r="I167" s="23"/>
      <c r="J167" s="23"/>
      <c r="M167" s="77"/>
      <c r="N167" s="6"/>
    </row>
    <row r="168" spans="1:14" ht="12.75">
      <c r="A168" s="1" t="s">
        <v>10</v>
      </c>
      <c r="C168" s="14"/>
      <c r="D168" s="17"/>
      <c r="E168" s="17"/>
      <c r="F168" s="17"/>
      <c r="G168" s="17"/>
      <c r="H168" s="23"/>
      <c r="I168" s="34"/>
      <c r="J168" s="35"/>
      <c r="M168" s="77"/>
      <c r="N168" s="6"/>
    </row>
    <row r="169" spans="2:14" ht="12.75">
      <c r="B169" s="1" t="s">
        <v>11</v>
      </c>
      <c r="C169" s="14"/>
      <c r="D169" s="17">
        <f>+D5+K55</f>
        <v>38880</v>
      </c>
      <c r="E169" s="17" t="s">
        <v>126</v>
      </c>
      <c r="G169" s="17"/>
      <c r="H169" s="23"/>
      <c r="I169" s="34"/>
      <c r="J169" s="35"/>
      <c r="M169" s="77"/>
      <c r="N169" s="6"/>
    </row>
    <row r="170" spans="2:14" ht="12.75">
      <c r="B170" s="1" t="s">
        <v>12</v>
      </c>
      <c r="C170" s="14"/>
      <c r="D170" s="17">
        <f>+D6+K56</f>
        <v>18600</v>
      </c>
      <c r="E170" s="17" t="s">
        <v>127</v>
      </c>
      <c r="G170" s="17"/>
      <c r="H170" s="23"/>
      <c r="I170" s="34">
        <f>+G6*D170</f>
        <v>8370</v>
      </c>
      <c r="J170" s="34">
        <f>+H6*D170</f>
        <v>10230</v>
      </c>
      <c r="K170" s="17">
        <f>+I170+J170</f>
        <v>18600</v>
      </c>
      <c r="L170" s="17"/>
      <c r="M170" s="86">
        <v>20</v>
      </c>
      <c r="N170" s="6"/>
    </row>
    <row r="171" spans="2:14" ht="12.75">
      <c r="B171" s="1" t="s">
        <v>13</v>
      </c>
      <c r="C171" s="14"/>
      <c r="D171" s="17">
        <f>+D7+K57</f>
        <v>16200</v>
      </c>
      <c r="E171" s="17" t="s">
        <v>127</v>
      </c>
      <c r="G171" s="17"/>
      <c r="H171" s="23"/>
      <c r="I171" s="34">
        <f>+G7*D171</f>
        <v>7290</v>
      </c>
      <c r="J171" s="34">
        <f>+H7*D171</f>
        <v>8910</v>
      </c>
      <c r="K171" s="17">
        <f>+I171+J171</f>
        <v>16200</v>
      </c>
      <c r="L171" s="17"/>
      <c r="M171" s="86">
        <v>20</v>
      </c>
      <c r="N171" s="6"/>
    </row>
    <row r="172" spans="2:14" ht="12.75">
      <c r="B172" s="1" t="s">
        <v>36</v>
      </c>
      <c r="C172" s="14"/>
      <c r="D172" s="17">
        <f>+D8</f>
        <v>1500</v>
      </c>
      <c r="E172" s="17" t="s">
        <v>126</v>
      </c>
      <c r="G172" s="17"/>
      <c r="H172" s="23"/>
      <c r="I172" s="34"/>
      <c r="J172" s="35"/>
      <c r="K172" s="17"/>
      <c r="L172" s="17"/>
      <c r="M172" s="86"/>
      <c r="N172" s="6"/>
    </row>
    <row r="173" spans="3:14" ht="12.75">
      <c r="C173" s="14"/>
      <c r="D173" s="24">
        <f>SUM(D169:D172)</f>
        <v>75180</v>
      </c>
      <c r="E173" s="17"/>
      <c r="G173" s="17"/>
      <c r="H173" s="23"/>
      <c r="I173" s="34"/>
      <c r="J173" s="35"/>
      <c r="K173" s="17"/>
      <c r="L173" s="17"/>
      <c r="M173" s="86"/>
      <c r="N173" s="6"/>
    </row>
    <row r="174" spans="1:14" ht="12.75">
      <c r="A174" s="1" t="s">
        <v>16</v>
      </c>
      <c r="C174" s="14"/>
      <c r="D174" s="17"/>
      <c r="E174" s="17"/>
      <c r="G174" s="17"/>
      <c r="H174" s="23"/>
      <c r="I174" s="34"/>
      <c r="J174" s="35"/>
      <c r="K174" s="17"/>
      <c r="L174" s="17"/>
      <c r="M174" s="86"/>
      <c r="N174" s="6"/>
    </row>
    <row r="175" spans="2:14" ht="12.75">
      <c r="B175" s="1" t="s">
        <v>17</v>
      </c>
      <c r="C175" s="14"/>
      <c r="D175" s="17">
        <f>+K65+D11</f>
        <v>2362.5</v>
      </c>
      <c r="E175" s="17" t="s">
        <v>129</v>
      </c>
      <c r="G175" s="17"/>
      <c r="H175" s="23"/>
      <c r="I175" s="34">
        <f>+G11*D175</f>
        <v>708.75</v>
      </c>
      <c r="J175" s="34">
        <f>+H11*D175</f>
        <v>1653.75</v>
      </c>
      <c r="K175" s="17">
        <f>+I175+J175</f>
        <v>2362.5</v>
      </c>
      <c r="L175" s="17"/>
      <c r="M175" s="86">
        <v>20</v>
      </c>
      <c r="N175" s="6"/>
    </row>
    <row r="176" spans="2:14" ht="12.75">
      <c r="B176" s="1" t="s">
        <v>149</v>
      </c>
      <c r="C176" s="14"/>
      <c r="D176" s="17">
        <f>+K67</f>
        <v>1282</v>
      </c>
      <c r="E176" s="17" t="s">
        <v>128</v>
      </c>
      <c r="G176" s="17"/>
      <c r="H176" s="23"/>
      <c r="I176" s="34">
        <f>+G12*D176</f>
        <v>512.8000000000001</v>
      </c>
      <c r="J176" s="34">
        <f>+H12*D176</f>
        <v>769.1999999999999</v>
      </c>
      <c r="K176" s="17">
        <f>+I176+J176</f>
        <v>1282</v>
      </c>
      <c r="L176" s="17"/>
      <c r="M176" s="86">
        <v>20</v>
      </c>
      <c r="N176" s="6"/>
    </row>
    <row r="177" spans="2:14" ht="12.75">
      <c r="B177" s="1" t="s">
        <v>65</v>
      </c>
      <c r="C177" s="14"/>
      <c r="D177" s="17">
        <f>+K68</f>
        <v>1704</v>
      </c>
      <c r="E177" s="17" t="s">
        <v>129</v>
      </c>
      <c r="G177" s="17"/>
      <c r="H177" s="23"/>
      <c r="I177" s="34">
        <f>+G13*D177</f>
        <v>511.2</v>
      </c>
      <c r="J177" s="34">
        <f>+H13*D177</f>
        <v>1192.8</v>
      </c>
      <c r="K177" s="17">
        <f>+I177+J177</f>
        <v>1704</v>
      </c>
      <c r="L177" s="17"/>
      <c r="M177" s="86">
        <v>20</v>
      </c>
      <c r="N177" s="6"/>
    </row>
    <row r="178" spans="3:14" ht="12.75">
      <c r="C178" s="14"/>
      <c r="D178" s="24">
        <f>SUM(D175:D177)</f>
        <v>5348.5</v>
      </c>
      <c r="E178" s="17"/>
      <c r="G178" s="17"/>
      <c r="H178" s="23"/>
      <c r="I178" s="34"/>
      <c r="J178" s="35"/>
      <c r="K178" s="17"/>
      <c r="L178" s="17"/>
      <c r="M178" s="86"/>
      <c r="N178" s="6"/>
    </row>
    <row r="179" spans="1:14" ht="12.75">
      <c r="A179" s="1" t="s">
        <v>14</v>
      </c>
      <c r="C179" s="14"/>
      <c r="D179" s="17"/>
      <c r="E179" s="17"/>
      <c r="G179" s="17"/>
      <c r="H179" s="23"/>
      <c r="I179" s="34"/>
      <c r="J179" s="35"/>
      <c r="K179" s="17"/>
      <c r="L179" s="17"/>
      <c r="M179" s="86"/>
      <c r="N179" s="6"/>
    </row>
    <row r="180" spans="2:14" ht="12.75">
      <c r="B180" s="1" t="s">
        <v>15</v>
      </c>
      <c r="C180" s="14"/>
      <c r="D180" s="27">
        <f>+D16</f>
        <v>5040</v>
      </c>
      <c r="E180" s="17" t="s">
        <v>127</v>
      </c>
      <c r="G180" s="17"/>
      <c r="H180" s="23"/>
      <c r="I180" s="34">
        <f>+D180*G16</f>
        <v>2268</v>
      </c>
      <c r="J180" s="34">
        <f>+D180*H16</f>
        <v>2772</v>
      </c>
      <c r="K180" s="17">
        <f>+I180+J180</f>
        <v>5040</v>
      </c>
      <c r="L180" s="17"/>
      <c r="M180" s="86">
        <v>20</v>
      </c>
      <c r="N180" s="6"/>
    </row>
    <row r="181" spans="3:14" ht="12.75">
      <c r="C181" s="14"/>
      <c r="D181" s="17"/>
      <c r="E181" s="17"/>
      <c r="G181" s="17"/>
      <c r="H181" s="23"/>
      <c r="I181" s="34"/>
      <c r="J181" s="35"/>
      <c r="K181" s="17"/>
      <c r="L181" s="17"/>
      <c r="M181" s="86"/>
      <c r="N181" s="6"/>
    </row>
    <row r="182" spans="1:14" ht="12.75">
      <c r="A182" s="1" t="s">
        <v>19</v>
      </c>
      <c r="C182" s="14"/>
      <c r="D182" s="17"/>
      <c r="E182" s="17"/>
      <c r="G182" s="17"/>
      <c r="H182" s="23"/>
      <c r="I182" s="34"/>
      <c r="J182" s="35"/>
      <c r="K182" s="17"/>
      <c r="L182" s="17"/>
      <c r="M182" s="86"/>
      <c r="N182" s="6"/>
    </row>
    <row r="183" spans="2:14" ht="12.75">
      <c r="B183" s="1" t="s">
        <v>124</v>
      </c>
      <c r="C183" s="14"/>
      <c r="D183" s="17">
        <f>+D19</f>
        <v>3500</v>
      </c>
      <c r="E183" s="17" t="s">
        <v>158</v>
      </c>
      <c r="G183" s="17"/>
      <c r="H183" s="23"/>
      <c r="I183" s="34">
        <f>+D183*G19</f>
        <v>3500</v>
      </c>
      <c r="J183" s="34">
        <f>+D183*H19</f>
        <v>0</v>
      </c>
      <c r="K183" s="17">
        <f>+I183+J183</f>
        <v>3500</v>
      </c>
      <c r="L183" s="17"/>
      <c r="M183" s="86">
        <v>20</v>
      </c>
      <c r="N183" s="6"/>
    </row>
    <row r="184" spans="2:14" ht="12.75">
      <c r="B184" s="1" t="s">
        <v>20</v>
      </c>
      <c r="C184" s="14"/>
      <c r="D184" s="17">
        <f>+K74</f>
        <v>690</v>
      </c>
      <c r="E184" s="17" t="s">
        <v>126</v>
      </c>
      <c r="G184" s="17"/>
      <c r="H184" s="23"/>
      <c r="I184" s="34"/>
      <c r="J184" s="35"/>
      <c r="K184" s="17"/>
      <c r="L184" s="17"/>
      <c r="M184" s="86"/>
      <c r="N184" s="6"/>
    </row>
    <row r="185" spans="2:14" ht="12.75">
      <c r="B185" s="1" t="s">
        <v>21</v>
      </c>
      <c r="C185" s="14"/>
      <c r="D185" s="17">
        <f>+D21</f>
        <v>1000</v>
      </c>
      <c r="E185" s="17" t="s">
        <v>126</v>
      </c>
      <c r="G185" s="17"/>
      <c r="H185" s="23"/>
      <c r="I185" s="34"/>
      <c r="J185" s="35"/>
      <c r="K185" s="17"/>
      <c r="L185" s="17"/>
      <c r="M185" s="86"/>
      <c r="N185" s="6"/>
    </row>
    <row r="186" spans="3:14" ht="12.75">
      <c r="C186" s="14"/>
      <c r="D186" s="24">
        <f>SUM(D183:D185)</f>
        <v>5190</v>
      </c>
      <c r="E186" s="17"/>
      <c r="G186" s="17"/>
      <c r="H186" s="23"/>
      <c r="I186" s="34"/>
      <c r="J186" s="35"/>
      <c r="K186" s="17"/>
      <c r="L186" s="17"/>
      <c r="M186" s="86"/>
      <c r="N186" s="6"/>
    </row>
    <row r="187" spans="3:14" ht="12.75">
      <c r="C187" s="14"/>
      <c r="D187" s="17"/>
      <c r="E187" s="17"/>
      <c r="G187" s="17"/>
      <c r="H187" s="23"/>
      <c r="I187" s="34"/>
      <c r="J187" s="35"/>
      <c r="K187" s="17"/>
      <c r="L187" s="17"/>
      <c r="M187" s="86"/>
      <c r="N187" s="6"/>
    </row>
    <row r="188" spans="1:14" ht="12.75">
      <c r="A188" s="1" t="s">
        <v>3</v>
      </c>
      <c r="C188" s="14"/>
      <c r="D188" s="27">
        <f>+K76</f>
        <v>5400</v>
      </c>
      <c r="E188" s="17" t="s">
        <v>126</v>
      </c>
      <c r="G188" s="17"/>
      <c r="H188" s="23"/>
      <c r="I188" s="34"/>
      <c r="J188" s="35"/>
      <c r="K188" s="17"/>
      <c r="L188" s="17"/>
      <c r="M188" s="86"/>
      <c r="N188" s="6"/>
    </row>
    <row r="189" spans="4:14" ht="12.75">
      <c r="D189" s="17"/>
      <c r="E189" s="17"/>
      <c r="G189" s="17"/>
      <c r="H189" s="23"/>
      <c r="I189" s="22"/>
      <c r="J189" s="44"/>
      <c r="K189" s="27"/>
      <c r="L189" s="25"/>
      <c r="M189" s="86"/>
      <c r="N189" s="6"/>
    </row>
    <row r="190" spans="4:14" ht="13.5" thickBot="1">
      <c r="D190" s="43">
        <f>+D173+D178+D180+D188+D186</f>
        <v>96158.5</v>
      </c>
      <c r="E190" s="17"/>
      <c r="G190" s="17"/>
      <c r="H190" s="23"/>
      <c r="I190" s="34">
        <f>SUM(I170:I189)</f>
        <v>23160.75</v>
      </c>
      <c r="J190" s="34">
        <f>SUM(J170:J189)</f>
        <v>25527.75</v>
      </c>
      <c r="K190" s="34">
        <f>SUM(K170:K189)</f>
        <v>48688.5</v>
      </c>
      <c r="L190" s="34"/>
      <c r="M190" s="86"/>
      <c r="N190" s="6"/>
    </row>
    <row r="191" spans="4:14" ht="13.5" thickTop="1">
      <c r="D191" s="17"/>
      <c r="E191" s="17" t="s">
        <v>67</v>
      </c>
      <c r="F191" s="17"/>
      <c r="G191" s="17"/>
      <c r="H191" s="23"/>
      <c r="I191" s="17">
        <f>+I190/$K$190*$K$191</f>
        <v>22581.118796019597</v>
      </c>
      <c r="J191" s="17">
        <f>+J190/$K$190*$K$191</f>
        <v>24888.881203980403</v>
      </c>
      <c r="K191" s="17">
        <f>+D190-K190</f>
        <v>47470</v>
      </c>
      <c r="L191" s="17"/>
      <c r="M191" s="86">
        <v>20</v>
      </c>
      <c r="N191" s="6"/>
    </row>
    <row r="192" spans="4:14" ht="13.5" thickBot="1">
      <c r="D192" s="17"/>
      <c r="E192" s="17"/>
      <c r="F192" s="17"/>
      <c r="G192" s="17"/>
      <c r="H192" s="23"/>
      <c r="I192" s="45">
        <f>+I190+I191</f>
        <v>45741.8687960196</v>
      </c>
      <c r="J192" s="45">
        <f>+J190+J191</f>
        <v>50416.6312039804</v>
      </c>
      <c r="K192" s="45">
        <f>+K190+K191</f>
        <v>96158.5</v>
      </c>
      <c r="L192" s="25"/>
      <c r="M192" s="86"/>
      <c r="N192" s="6"/>
    </row>
    <row r="193" spans="4:14" ht="12.75">
      <c r="D193" s="17"/>
      <c r="E193" s="17"/>
      <c r="F193" s="17"/>
      <c r="G193" s="17"/>
      <c r="H193" s="23"/>
      <c r="I193" s="17"/>
      <c r="J193" s="34"/>
      <c r="K193" s="35"/>
      <c r="L193" s="35"/>
      <c r="M193" s="86"/>
      <c r="N193" s="6"/>
    </row>
    <row r="194" spans="1:14" ht="12.75">
      <c r="A194" s="11" t="s">
        <v>68</v>
      </c>
      <c r="D194" s="97" t="s">
        <v>60</v>
      </c>
      <c r="E194" s="97"/>
      <c r="F194" s="17"/>
      <c r="G194" s="97" t="s">
        <v>61</v>
      </c>
      <c r="H194" s="97"/>
      <c r="I194" s="17"/>
      <c r="J194" s="97" t="s">
        <v>59</v>
      </c>
      <c r="K194" s="97"/>
      <c r="L194" s="23"/>
      <c r="M194" s="86"/>
      <c r="N194" s="6"/>
    </row>
    <row r="195" spans="4:14" ht="12.75">
      <c r="D195" s="23" t="s">
        <v>23</v>
      </c>
      <c r="E195" s="23" t="s">
        <v>58</v>
      </c>
      <c r="F195" s="17"/>
      <c r="G195" s="23" t="s">
        <v>23</v>
      </c>
      <c r="H195" s="23" t="s">
        <v>58</v>
      </c>
      <c r="I195" s="17"/>
      <c r="J195" s="23" t="s">
        <v>23</v>
      </c>
      <c r="K195" s="23" t="s">
        <v>58</v>
      </c>
      <c r="L195" s="23"/>
      <c r="M195" s="86"/>
      <c r="N195" s="6"/>
    </row>
    <row r="196" spans="4:14" ht="12.75">
      <c r="D196" s="17"/>
      <c r="E196" s="17"/>
      <c r="F196" s="17"/>
      <c r="G196" s="26" t="s">
        <v>2</v>
      </c>
      <c r="H196" s="26" t="s">
        <v>2</v>
      </c>
      <c r="I196" s="17"/>
      <c r="J196" s="26" t="s">
        <v>2</v>
      </c>
      <c r="K196" s="26" t="s">
        <v>2</v>
      </c>
      <c r="L196" s="26"/>
      <c r="M196" s="86"/>
      <c r="N196" s="6"/>
    </row>
    <row r="197" spans="1:14" ht="12.75">
      <c r="A197" s="1" t="s">
        <v>62</v>
      </c>
      <c r="D197" s="17">
        <f>+E33</f>
        <v>52000</v>
      </c>
      <c r="E197" s="17">
        <f>+F33</f>
        <v>50000</v>
      </c>
      <c r="F197" s="17"/>
      <c r="G197" s="17">
        <f>+E29</f>
        <v>1287000</v>
      </c>
      <c r="H197" s="34">
        <f>+F30</f>
        <v>400000</v>
      </c>
      <c r="I197" s="17"/>
      <c r="J197" s="36">
        <f>+G197/D197</f>
        <v>24.75</v>
      </c>
      <c r="K197" s="36">
        <f>+H197/E197</f>
        <v>8</v>
      </c>
      <c r="L197" s="36"/>
      <c r="M197" s="86"/>
      <c r="N197" s="6"/>
    </row>
    <row r="198" spans="1:14" ht="12.75">
      <c r="A198" s="1" t="s">
        <v>99</v>
      </c>
      <c r="D198" s="17"/>
      <c r="E198" s="17"/>
      <c r="F198" s="17"/>
      <c r="G198" s="17">
        <v>1600</v>
      </c>
      <c r="H198" s="21" t="s">
        <v>4</v>
      </c>
      <c r="I198" s="17"/>
      <c r="J198" s="36">
        <v>0.03</v>
      </c>
      <c r="K198" s="48" t="s">
        <v>4</v>
      </c>
      <c r="L198" s="48"/>
      <c r="M198" s="86"/>
      <c r="N198" s="6"/>
    </row>
    <row r="199" spans="1:14" ht="12.75">
      <c r="A199" s="1" t="s">
        <v>0</v>
      </c>
      <c r="D199" s="17"/>
      <c r="E199" s="17"/>
      <c r="F199" s="17"/>
      <c r="G199" s="17">
        <f>+I192</f>
        <v>45741.8687960196</v>
      </c>
      <c r="H199" s="34">
        <f>+J192</f>
        <v>50416.6312039804</v>
      </c>
      <c r="I199" s="17"/>
      <c r="J199" s="36">
        <f>+G199/D197</f>
        <v>0.8796513230003769</v>
      </c>
      <c r="K199" s="36">
        <f>+H199/E197</f>
        <v>1.008332624079608</v>
      </c>
      <c r="L199" s="36"/>
      <c r="M199" s="86"/>
      <c r="N199" s="6"/>
    </row>
    <row r="200" spans="4:14" ht="13.5" thickBot="1">
      <c r="D200" s="17"/>
      <c r="E200" s="17"/>
      <c r="F200" s="17"/>
      <c r="G200" s="40">
        <f>+G197+G199</f>
        <v>1332741.8687960196</v>
      </c>
      <c r="H200" s="40">
        <f>+H197+H199</f>
        <v>450416.6312039804</v>
      </c>
      <c r="I200" s="17"/>
      <c r="J200" s="41">
        <f>+J197+J199+J198</f>
        <v>25.65965132300038</v>
      </c>
      <c r="K200" s="41">
        <f>+K197+K199</f>
        <v>9.008332624079609</v>
      </c>
      <c r="L200" s="61"/>
      <c r="M200" s="86"/>
      <c r="N200" s="6"/>
    </row>
    <row r="201" spans="4:14" s="64" customFormat="1" ht="11.25">
      <c r="D201" s="65"/>
      <c r="E201" s="65"/>
      <c r="F201" s="65"/>
      <c r="G201" s="65"/>
      <c r="H201" s="74"/>
      <c r="I201" s="65"/>
      <c r="J201" s="67"/>
      <c r="K201" s="68"/>
      <c r="L201" s="68"/>
      <c r="M201" s="87"/>
      <c r="N201" s="69"/>
    </row>
    <row r="202" spans="1:14" ht="13.5" thickBot="1">
      <c r="A202" s="1" t="s">
        <v>159</v>
      </c>
      <c r="D202" s="17"/>
      <c r="E202" s="17"/>
      <c r="F202" s="17"/>
      <c r="G202" s="17"/>
      <c r="H202" s="23"/>
      <c r="I202" s="17"/>
      <c r="J202" s="42">
        <f>+E39</f>
        <v>25.814235328986367</v>
      </c>
      <c r="K202" s="42">
        <f>+F39</f>
        <v>8.343995257854179</v>
      </c>
      <c r="L202" s="79"/>
      <c r="M202" s="86"/>
      <c r="N202" s="6"/>
    </row>
    <row r="203" spans="4:14" s="64" customFormat="1" ht="11.25">
      <c r="D203" s="65"/>
      <c r="E203" s="65"/>
      <c r="F203" s="65"/>
      <c r="G203" s="65"/>
      <c r="H203" s="74"/>
      <c r="I203" s="65"/>
      <c r="J203" s="82"/>
      <c r="K203" s="82"/>
      <c r="L203" s="82"/>
      <c r="M203" s="87"/>
      <c r="N203" s="69"/>
    </row>
    <row r="204" spans="1:14" ht="13.5" thickBot="1">
      <c r="A204" s="1" t="s">
        <v>161</v>
      </c>
      <c r="D204" s="17"/>
      <c r="E204" s="17"/>
      <c r="F204" s="17"/>
      <c r="G204" s="17"/>
      <c r="H204" s="23"/>
      <c r="I204" s="17"/>
      <c r="J204" s="83">
        <f>J200-J202</f>
        <v>-0.15458400598598843</v>
      </c>
      <c r="K204" s="83">
        <v>0.67</v>
      </c>
      <c r="L204" s="61"/>
      <c r="M204" s="86"/>
      <c r="N204" s="6"/>
    </row>
    <row r="205" spans="1:14" ht="15.75">
      <c r="A205" s="90" t="s">
        <v>112</v>
      </c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6"/>
    </row>
    <row r="206" spans="1:14" ht="12.75">
      <c r="A206" s="89" t="s">
        <v>111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6"/>
    </row>
    <row r="207" spans="1:14" ht="18.75" customHeight="1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6"/>
    </row>
    <row r="208" spans="1:14" ht="12.75">
      <c r="A208" s="89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6"/>
    </row>
    <row r="209" spans="10:14" ht="12.75">
      <c r="J209" s="8"/>
      <c r="K209" s="8"/>
      <c r="L209" s="8"/>
      <c r="M209" s="77"/>
      <c r="N209" s="6"/>
    </row>
    <row r="210" spans="10:14" ht="12.75">
      <c r="J210" s="8"/>
      <c r="K210" s="4"/>
      <c r="L210" s="4"/>
      <c r="M210" s="6" t="s">
        <v>5</v>
      </c>
      <c r="N210" s="6"/>
    </row>
    <row r="211" spans="1:14" ht="12.75">
      <c r="A211" s="11" t="s">
        <v>130</v>
      </c>
      <c r="I211" s="23" t="s">
        <v>132</v>
      </c>
      <c r="J211" s="54"/>
      <c r="K211" s="54" t="s">
        <v>133</v>
      </c>
      <c r="L211" s="54"/>
      <c r="M211" s="77"/>
      <c r="N211" s="6"/>
    </row>
    <row r="212" spans="4:14" ht="12.75">
      <c r="D212" s="17"/>
      <c r="E212" s="17"/>
      <c r="F212" s="17"/>
      <c r="G212" s="17"/>
      <c r="H212" s="23"/>
      <c r="I212" s="23" t="s">
        <v>2</v>
      </c>
      <c r="J212" s="54"/>
      <c r="K212" s="54" t="s">
        <v>2</v>
      </c>
      <c r="L212" s="54"/>
      <c r="M212" s="77"/>
      <c r="N212" s="6"/>
    </row>
    <row r="213" spans="1:14" ht="12.75">
      <c r="A213" s="13" t="s">
        <v>23</v>
      </c>
      <c r="D213" s="17"/>
      <c r="E213" s="17"/>
      <c r="F213" s="17"/>
      <c r="G213" s="17"/>
      <c r="H213" s="23"/>
      <c r="M213" s="77"/>
      <c r="N213" s="6"/>
    </row>
    <row r="214" spans="2:14" ht="12.75">
      <c r="B214" s="1" t="s">
        <v>131</v>
      </c>
      <c r="D214" s="17"/>
      <c r="E214" s="17"/>
      <c r="F214" s="17"/>
      <c r="G214" s="17"/>
      <c r="H214" s="23"/>
      <c r="I214" s="27">
        <f>+G200</f>
        <v>1332741.8687960196</v>
      </c>
      <c r="J214" s="36"/>
      <c r="K214" s="58">
        <f>+J200</f>
        <v>25.65965132300038</v>
      </c>
      <c r="L214" s="76"/>
      <c r="M214" s="77"/>
      <c r="N214" s="6"/>
    </row>
    <row r="215" spans="4:14" ht="12.75">
      <c r="D215" s="17"/>
      <c r="E215" s="17"/>
      <c r="F215" s="17"/>
      <c r="G215" s="17"/>
      <c r="H215" s="23"/>
      <c r="I215" s="17"/>
      <c r="J215" s="36"/>
      <c r="K215" s="46"/>
      <c r="L215" s="46"/>
      <c r="M215" s="77"/>
      <c r="N215" s="6"/>
    </row>
    <row r="216" spans="1:14" ht="12.75">
      <c r="A216" s="13" t="s">
        <v>134</v>
      </c>
      <c r="D216" s="17"/>
      <c r="E216" s="17"/>
      <c r="F216" s="17"/>
      <c r="G216" s="17"/>
      <c r="H216" s="23"/>
      <c r="I216" s="17"/>
      <c r="J216" s="36"/>
      <c r="K216" s="46"/>
      <c r="L216" s="46"/>
      <c r="M216" s="77"/>
      <c r="N216" s="6"/>
    </row>
    <row r="217" spans="1:14" ht="12.75">
      <c r="A217" s="13"/>
      <c r="B217" s="1" t="s">
        <v>131</v>
      </c>
      <c r="D217" s="17"/>
      <c r="E217" s="17"/>
      <c r="F217" s="17"/>
      <c r="G217" s="17"/>
      <c r="H217" s="23"/>
      <c r="I217" s="27">
        <f>+H200</f>
        <v>450416.6312039804</v>
      </c>
      <c r="J217" s="36"/>
      <c r="K217" s="58">
        <f>+K200</f>
        <v>9.008332624079609</v>
      </c>
      <c r="L217" s="76"/>
      <c r="M217" s="77"/>
      <c r="N217" s="6"/>
    </row>
    <row r="218" spans="1:14" ht="12.75">
      <c r="A218" s="13"/>
      <c r="D218" s="17"/>
      <c r="E218" s="17"/>
      <c r="F218" s="17"/>
      <c r="G218" s="17"/>
      <c r="H218" s="23"/>
      <c r="I218" s="17"/>
      <c r="J218" s="36"/>
      <c r="K218" s="46"/>
      <c r="L218" s="46"/>
      <c r="M218" s="77"/>
      <c r="N218" s="6"/>
    </row>
    <row r="219" spans="1:14" ht="12.75">
      <c r="A219" s="13"/>
      <c r="D219" s="17"/>
      <c r="E219" s="17"/>
      <c r="F219" s="17"/>
      <c r="G219" s="17"/>
      <c r="H219" s="23"/>
      <c r="I219" s="17"/>
      <c r="J219" s="36"/>
      <c r="K219" s="46"/>
      <c r="L219" s="46"/>
      <c r="M219" s="77"/>
      <c r="N219" s="6"/>
    </row>
    <row r="220" spans="1:14" ht="12.75">
      <c r="A220" s="11" t="s">
        <v>136</v>
      </c>
      <c r="D220" s="17"/>
      <c r="E220" s="17"/>
      <c r="F220" s="17"/>
      <c r="G220" s="17"/>
      <c r="H220" s="23"/>
      <c r="I220" s="17"/>
      <c r="J220" s="36"/>
      <c r="K220" s="46"/>
      <c r="L220" s="46"/>
      <c r="M220" s="77"/>
      <c r="N220" s="6"/>
    </row>
    <row r="221" spans="1:14" ht="12.75">
      <c r="A221" s="13"/>
      <c r="D221" s="17"/>
      <c r="E221" s="17"/>
      <c r="F221" s="17"/>
      <c r="G221" s="17"/>
      <c r="H221" s="23"/>
      <c r="I221" s="17"/>
      <c r="J221" s="36"/>
      <c r="K221" s="46"/>
      <c r="L221" s="46"/>
      <c r="M221" s="77"/>
      <c r="N221" s="6"/>
    </row>
    <row r="222" spans="1:14" ht="12.75">
      <c r="A222" s="13" t="s">
        <v>23</v>
      </c>
      <c r="D222" s="17"/>
      <c r="E222" s="17"/>
      <c r="F222" s="17"/>
      <c r="G222" s="17"/>
      <c r="H222" s="23"/>
      <c r="I222" s="17"/>
      <c r="J222" s="36"/>
      <c r="K222" s="46"/>
      <c r="L222" s="46"/>
      <c r="M222" s="77"/>
      <c r="N222" s="6"/>
    </row>
    <row r="223" spans="1:14" ht="12.75">
      <c r="A223" s="1" t="s">
        <v>87</v>
      </c>
      <c r="D223" s="17"/>
      <c r="E223" s="17"/>
      <c r="F223" s="17"/>
      <c r="G223" s="17"/>
      <c r="H223" s="23"/>
      <c r="I223" s="17"/>
      <c r="J223" s="36"/>
      <c r="K223" s="46"/>
      <c r="L223" s="46"/>
      <c r="M223" s="77"/>
      <c r="N223" s="6"/>
    </row>
    <row r="224" spans="2:14" ht="12.75">
      <c r="B224" s="1" t="s">
        <v>88</v>
      </c>
      <c r="E224" s="17">
        <v>1000</v>
      </c>
      <c r="F224" s="17" t="s">
        <v>71</v>
      </c>
      <c r="H224" s="23"/>
      <c r="I224" s="17"/>
      <c r="J224" s="36"/>
      <c r="K224" s="46"/>
      <c r="L224" s="46"/>
      <c r="M224" s="86">
        <v>12</v>
      </c>
      <c r="N224" s="6"/>
    </row>
    <row r="225" spans="2:14" ht="12.75">
      <c r="B225" s="1" t="s">
        <v>70</v>
      </c>
      <c r="E225" s="17">
        <v>52000</v>
      </c>
      <c r="F225" s="17" t="s">
        <v>72</v>
      </c>
      <c r="H225" s="3" t="s">
        <v>154</v>
      </c>
      <c r="I225" s="17"/>
      <c r="J225" s="36"/>
      <c r="K225" s="46"/>
      <c r="L225" s="46"/>
      <c r="M225" s="86">
        <v>12</v>
      </c>
      <c r="N225" s="6"/>
    </row>
    <row r="226" spans="2:14" ht="12.75">
      <c r="B226" s="1" t="s">
        <v>144</v>
      </c>
      <c r="E226" s="31">
        <v>25</v>
      </c>
      <c r="F226" s="17"/>
      <c r="H226" s="23"/>
      <c r="I226" s="17"/>
      <c r="J226" s="36"/>
      <c r="K226" s="46"/>
      <c r="L226" s="46"/>
      <c r="M226" s="86"/>
      <c r="N226" s="6"/>
    </row>
    <row r="227" spans="2:14" ht="12.75">
      <c r="B227" s="1" t="s">
        <v>89</v>
      </c>
      <c r="E227" s="31">
        <v>400</v>
      </c>
      <c r="F227" s="17" t="s">
        <v>109</v>
      </c>
      <c r="H227" s="23"/>
      <c r="I227" s="17"/>
      <c r="J227" s="36"/>
      <c r="K227" s="46"/>
      <c r="L227" s="46"/>
      <c r="M227" s="86">
        <v>12</v>
      </c>
      <c r="N227" s="6"/>
    </row>
    <row r="228" spans="2:14" ht="12.75">
      <c r="B228" s="1" t="s">
        <v>83</v>
      </c>
      <c r="E228" s="21" t="s">
        <v>86</v>
      </c>
      <c r="F228" s="17" t="s">
        <v>90</v>
      </c>
      <c r="H228" s="23"/>
      <c r="I228" s="17"/>
      <c r="J228" s="36"/>
      <c r="K228" s="46"/>
      <c r="L228" s="46"/>
      <c r="M228" s="86">
        <v>12</v>
      </c>
      <c r="N228" s="6"/>
    </row>
    <row r="229" spans="2:14" ht="12.75">
      <c r="B229" s="1" t="s">
        <v>81</v>
      </c>
      <c r="E229" s="17"/>
      <c r="F229" s="17"/>
      <c r="H229" s="23"/>
      <c r="I229" s="17"/>
      <c r="J229" s="36"/>
      <c r="K229" s="46"/>
      <c r="L229" s="46"/>
      <c r="M229" s="86"/>
      <c r="N229" s="6"/>
    </row>
    <row r="230" spans="2:14" ht="12.75">
      <c r="B230" s="1" t="s">
        <v>91</v>
      </c>
      <c r="E230" s="17">
        <v>1</v>
      </c>
      <c r="F230" s="17" t="s">
        <v>82</v>
      </c>
      <c r="H230" s="23"/>
      <c r="I230" s="17"/>
      <c r="J230" s="36"/>
      <c r="K230" s="46"/>
      <c r="L230" s="46"/>
      <c r="M230" s="86">
        <v>20</v>
      </c>
      <c r="N230" s="6"/>
    </row>
    <row r="231" spans="2:14" ht="12.75">
      <c r="B231" s="1" t="s">
        <v>92</v>
      </c>
      <c r="E231" s="17">
        <v>1000</v>
      </c>
      <c r="F231" s="17" t="s">
        <v>72</v>
      </c>
      <c r="H231" s="23"/>
      <c r="I231" s="17"/>
      <c r="J231" s="36"/>
      <c r="K231" s="46"/>
      <c r="L231" s="46"/>
      <c r="M231" s="86">
        <v>20</v>
      </c>
      <c r="N231" s="6"/>
    </row>
    <row r="232" spans="2:14" ht="12.75">
      <c r="B232" s="1" t="s">
        <v>80</v>
      </c>
      <c r="E232" s="17"/>
      <c r="F232" s="17"/>
      <c r="H232" s="23"/>
      <c r="I232" s="17"/>
      <c r="J232" s="36"/>
      <c r="K232" s="46"/>
      <c r="L232" s="46"/>
      <c r="M232" s="86"/>
      <c r="N232" s="6"/>
    </row>
    <row r="233" spans="2:14" ht="12.75">
      <c r="B233" s="1" t="s">
        <v>93</v>
      </c>
      <c r="E233" s="17">
        <v>4</v>
      </c>
      <c r="F233" s="17" t="s">
        <v>76</v>
      </c>
      <c r="H233" s="23"/>
      <c r="I233" s="17"/>
      <c r="J233" s="36"/>
      <c r="K233" s="46"/>
      <c r="L233" s="46"/>
      <c r="M233" s="86">
        <v>12</v>
      </c>
      <c r="N233" s="6"/>
    </row>
    <row r="234" spans="2:14" ht="12.75">
      <c r="B234" s="1" t="s">
        <v>94</v>
      </c>
      <c r="E234" s="17">
        <f>+E225/E233</f>
        <v>13000</v>
      </c>
      <c r="F234" s="17"/>
      <c r="H234" s="23"/>
      <c r="I234" s="17"/>
      <c r="J234" s="36"/>
      <c r="K234" s="46"/>
      <c r="L234" s="46"/>
      <c r="M234" s="86">
        <v>12</v>
      </c>
      <c r="N234" s="6"/>
    </row>
    <row r="235" spans="2:14" ht="12.75">
      <c r="B235" s="1" t="s">
        <v>96</v>
      </c>
      <c r="D235" s="17"/>
      <c r="E235" s="31">
        <v>23.1</v>
      </c>
      <c r="F235" s="17" t="s">
        <v>74</v>
      </c>
      <c r="H235" s="23"/>
      <c r="I235" s="17"/>
      <c r="J235" s="36"/>
      <c r="K235" s="46"/>
      <c r="L235" s="46"/>
      <c r="M235" s="86">
        <v>20</v>
      </c>
      <c r="N235" s="6"/>
    </row>
    <row r="236" spans="2:14" ht="12.75">
      <c r="B236" s="1" t="s">
        <v>95</v>
      </c>
      <c r="D236" s="17"/>
      <c r="E236" s="31">
        <v>11</v>
      </c>
      <c r="F236" s="17" t="s">
        <v>97</v>
      </c>
      <c r="H236" s="23" t="s">
        <v>156</v>
      </c>
      <c r="I236" s="17"/>
      <c r="J236" s="36"/>
      <c r="K236" s="46"/>
      <c r="L236" s="46"/>
      <c r="M236" s="86">
        <v>20</v>
      </c>
      <c r="N236" s="6"/>
    </row>
    <row r="237" spans="4:14" ht="12.75">
      <c r="D237" s="17"/>
      <c r="E237" s="17"/>
      <c r="F237" s="17"/>
      <c r="H237" s="23"/>
      <c r="I237" s="17"/>
      <c r="J237" s="36"/>
      <c r="K237" s="46"/>
      <c r="L237" s="46"/>
      <c r="M237" s="86"/>
      <c r="N237" s="6"/>
    </row>
    <row r="238" spans="1:14" ht="12.75">
      <c r="A238" s="1" t="s">
        <v>73</v>
      </c>
      <c r="D238" s="17"/>
      <c r="E238" s="23" t="s">
        <v>2</v>
      </c>
      <c r="F238" s="17"/>
      <c r="H238" s="23"/>
      <c r="I238" s="17"/>
      <c r="J238" s="36"/>
      <c r="K238" s="46"/>
      <c r="L238" s="46"/>
      <c r="M238" s="86"/>
      <c r="N238" s="6"/>
    </row>
    <row r="239" spans="2:14" ht="12.75">
      <c r="B239" s="1" t="s">
        <v>98</v>
      </c>
      <c r="D239" s="17"/>
      <c r="E239" s="31">
        <f>+E235</f>
        <v>23.1</v>
      </c>
      <c r="F239" s="17"/>
      <c r="H239" s="23"/>
      <c r="I239" s="17"/>
      <c r="J239" s="36"/>
      <c r="K239" s="46"/>
      <c r="L239" s="46"/>
      <c r="M239" s="86"/>
      <c r="N239" s="6"/>
    </row>
    <row r="240" spans="2:14" ht="12.75">
      <c r="B240" s="1" t="s">
        <v>99</v>
      </c>
      <c r="D240" s="17"/>
      <c r="E240" s="31">
        <f>+E227</f>
        <v>400</v>
      </c>
      <c r="F240" s="17"/>
      <c r="H240" s="23"/>
      <c r="I240" s="17"/>
      <c r="J240" s="36"/>
      <c r="K240" s="46"/>
      <c r="L240" s="46"/>
      <c r="M240" s="86"/>
      <c r="N240" s="6"/>
    </row>
    <row r="241" spans="4:14" ht="12.75">
      <c r="D241" s="17"/>
      <c r="E241" s="50">
        <f>+E239+E240</f>
        <v>423.1</v>
      </c>
      <c r="F241" s="17"/>
      <c r="H241" s="3" t="s">
        <v>155</v>
      </c>
      <c r="I241" s="17"/>
      <c r="J241" s="36"/>
      <c r="K241" s="46"/>
      <c r="L241" s="46"/>
      <c r="M241" s="86"/>
      <c r="N241" s="6"/>
    </row>
    <row r="242" spans="1:14" ht="12.75">
      <c r="A242" s="13" t="s">
        <v>8</v>
      </c>
      <c r="D242" s="17"/>
      <c r="E242" s="17"/>
      <c r="F242" s="17"/>
      <c r="G242" s="17"/>
      <c r="H242" s="23"/>
      <c r="I242" s="17"/>
      <c r="J242" s="36"/>
      <c r="K242" s="46"/>
      <c r="L242" s="46"/>
      <c r="M242" s="86"/>
      <c r="N242" s="6"/>
    </row>
    <row r="243" spans="1:14" ht="12.75">
      <c r="A243" s="13"/>
      <c r="B243" s="1" t="s">
        <v>105</v>
      </c>
      <c r="C243" s="1" t="s">
        <v>137</v>
      </c>
      <c r="D243" s="17"/>
      <c r="E243" s="17"/>
      <c r="F243" s="17"/>
      <c r="G243" s="17"/>
      <c r="H243" s="23"/>
      <c r="I243" s="17">
        <f>+E233*E241</f>
        <v>1692.4</v>
      </c>
      <c r="J243" s="36"/>
      <c r="K243" s="46"/>
      <c r="L243" s="46"/>
      <c r="M243" s="86"/>
      <c r="N243" s="6"/>
    </row>
    <row r="244" spans="1:14" ht="12.75">
      <c r="A244" s="13"/>
      <c r="B244" s="1" t="s">
        <v>106</v>
      </c>
      <c r="D244" s="17"/>
      <c r="E244" s="17"/>
      <c r="F244" s="17"/>
      <c r="G244" s="17"/>
      <c r="H244" s="23"/>
      <c r="I244" s="17"/>
      <c r="J244" s="36"/>
      <c r="K244" s="46"/>
      <c r="L244" s="46"/>
      <c r="M244" s="86"/>
      <c r="N244" s="6"/>
    </row>
    <row r="245" spans="1:14" ht="12.75">
      <c r="A245" s="13"/>
      <c r="B245" s="1" t="s">
        <v>107</v>
      </c>
      <c r="D245" s="17" t="s">
        <v>145</v>
      </c>
      <c r="E245" s="17"/>
      <c r="F245" s="17"/>
      <c r="G245" s="17"/>
      <c r="H245" s="23"/>
      <c r="I245" s="17">
        <f>+E231*E236</f>
        <v>11000</v>
      </c>
      <c r="J245" s="36"/>
      <c r="K245" s="46"/>
      <c r="L245" s="46"/>
      <c r="M245" s="86"/>
      <c r="N245" s="6"/>
    </row>
    <row r="246" spans="1:14" ht="12.75">
      <c r="A246" s="13"/>
      <c r="B246" s="1" t="s">
        <v>108</v>
      </c>
      <c r="D246" s="17" t="s">
        <v>146</v>
      </c>
      <c r="E246" s="17"/>
      <c r="F246" s="17"/>
      <c r="G246" s="17"/>
      <c r="H246" s="23"/>
      <c r="I246" s="17">
        <f>+E234/2*E236</f>
        <v>71500</v>
      </c>
      <c r="J246" s="36"/>
      <c r="K246" s="46"/>
      <c r="L246" s="46"/>
      <c r="M246" s="86"/>
      <c r="N246" s="6"/>
    </row>
    <row r="247" spans="1:14" ht="12.75">
      <c r="A247" s="13"/>
      <c r="B247" s="1" t="s">
        <v>110</v>
      </c>
      <c r="D247" s="17" t="s">
        <v>147</v>
      </c>
      <c r="E247" s="17"/>
      <c r="F247" s="17"/>
      <c r="G247" s="17"/>
      <c r="H247" s="23"/>
      <c r="I247" s="17">
        <f>+E29</f>
        <v>1287000</v>
      </c>
      <c r="J247" s="36"/>
      <c r="K247" s="46"/>
      <c r="L247" s="46"/>
      <c r="M247" s="86"/>
      <c r="N247" s="6"/>
    </row>
    <row r="248" spans="1:14" ht="12.75">
      <c r="A248" s="13"/>
      <c r="D248" s="17"/>
      <c r="E248" s="17"/>
      <c r="F248" s="17"/>
      <c r="G248" s="17"/>
      <c r="H248" s="23"/>
      <c r="I248" s="24">
        <f>SUM(I243:I247)</f>
        <v>1371192.4</v>
      </c>
      <c r="J248" s="61"/>
      <c r="K248" s="58">
        <f>+I248/E225</f>
        <v>26.369084615384615</v>
      </c>
      <c r="L248" s="76"/>
      <c r="M248" s="86"/>
      <c r="N248" s="6"/>
    </row>
    <row r="249" spans="1:14" ht="12.75">
      <c r="A249" s="13"/>
      <c r="D249" s="17"/>
      <c r="E249" s="17"/>
      <c r="F249" s="17"/>
      <c r="G249" s="17"/>
      <c r="H249" s="23"/>
      <c r="I249" s="17"/>
      <c r="J249" s="36"/>
      <c r="K249" s="46"/>
      <c r="L249" s="46"/>
      <c r="M249" s="86"/>
      <c r="N249" s="6"/>
    </row>
    <row r="250" spans="1:14" ht="12.75">
      <c r="A250" s="13" t="s">
        <v>134</v>
      </c>
      <c r="D250" s="17"/>
      <c r="E250" s="17"/>
      <c r="F250" s="17"/>
      <c r="G250" s="17"/>
      <c r="H250" s="23"/>
      <c r="I250" s="17"/>
      <c r="J250" s="36"/>
      <c r="K250" s="46"/>
      <c r="L250" s="46"/>
      <c r="M250" s="86"/>
      <c r="N250" s="6"/>
    </row>
    <row r="251" spans="2:14" ht="12.75">
      <c r="B251" s="1" t="s">
        <v>135</v>
      </c>
      <c r="C251" s="8" t="s">
        <v>2</v>
      </c>
      <c r="D251" s="59">
        <v>9</v>
      </c>
      <c r="E251" s="17" t="s">
        <v>85</v>
      </c>
      <c r="F251" s="17"/>
      <c r="G251" s="17"/>
      <c r="H251" s="23"/>
      <c r="I251" s="17"/>
      <c r="J251" s="36"/>
      <c r="K251" s="46"/>
      <c r="L251" s="46"/>
      <c r="M251" s="86">
        <v>15</v>
      </c>
      <c r="N251" s="6"/>
    </row>
    <row r="252" spans="2:14" ht="12.75">
      <c r="B252" s="1" t="s">
        <v>117</v>
      </c>
      <c r="D252" s="60">
        <v>50000</v>
      </c>
      <c r="E252" s="17" t="s">
        <v>72</v>
      </c>
      <c r="F252" s="17"/>
      <c r="G252" s="17"/>
      <c r="H252" s="23"/>
      <c r="I252" s="27">
        <f>+D251*D252</f>
        <v>450000</v>
      </c>
      <c r="J252" s="36"/>
      <c r="K252" s="58">
        <f>+D251</f>
        <v>9</v>
      </c>
      <c r="L252" s="76"/>
      <c r="M252" s="77"/>
      <c r="N252" s="6"/>
    </row>
    <row r="253" spans="1:14" ht="15.75">
      <c r="A253" s="90" t="s">
        <v>112</v>
      </c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6"/>
    </row>
    <row r="254" spans="1:14" ht="12.75">
      <c r="A254" s="89" t="s">
        <v>111</v>
      </c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6"/>
    </row>
    <row r="255" spans="1:14" ht="18.75" customHeight="1">
      <c r="A255" s="89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6"/>
    </row>
    <row r="256" spans="1:14" ht="12.75">
      <c r="A256" s="89"/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6"/>
    </row>
    <row r="257" spans="10:14" ht="12.75">
      <c r="J257" s="8"/>
      <c r="K257" s="8"/>
      <c r="L257" s="8"/>
      <c r="M257" s="77"/>
      <c r="N257" s="6"/>
    </row>
    <row r="258" spans="10:14" ht="12.75">
      <c r="J258" s="8"/>
      <c r="K258" s="4"/>
      <c r="L258" s="4"/>
      <c r="M258" s="6" t="s">
        <v>5</v>
      </c>
      <c r="N258" s="6"/>
    </row>
    <row r="259" spans="1:14" ht="12.75">
      <c r="A259" s="11" t="s">
        <v>138</v>
      </c>
      <c r="J259" s="8"/>
      <c r="K259" s="4"/>
      <c r="L259" s="4"/>
      <c r="M259" s="77"/>
      <c r="N259" s="6"/>
    </row>
    <row r="260" spans="4:14" ht="12.75">
      <c r="D260" s="17"/>
      <c r="E260" s="17"/>
      <c r="F260" s="17"/>
      <c r="G260" s="17"/>
      <c r="H260" s="23"/>
      <c r="I260" s="17"/>
      <c r="J260" s="34"/>
      <c r="K260" s="35"/>
      <c r="L260" s="35"/>
      <c r="M260" s="77"/>
      <c r="N260" s="6"/>
    </row>
    <row r="261" spans="1:14" ht="12.75">
      <c r="A261" s="13" t="s">
        <v>100</v>
      </c>
      <c r="D261" s="17"/>
      <c r="E261" s="17"/>
      <c r="F261" s="51"/>
      <c r="G261" s="17"/>
      <c r="H261" s="23"/>
      <c r="I261" s="17"/>
      <c r="J261" s="36"/>
      <c r="K261" s="46"/>
      <c r="L261" s="46"/>
      <c r="M261" s="77"/>
      <c r="N261" s="6"/>
    </row>
    <row r="262" spans="4:14" s="64" customFormat="1" ht="11.25">
      <c r="D262" s="65"/>
      <c r="E262" s="65"/>
      <c r="F262" s="72"/>
      <c r="G262" s="65"/>
      <c r="H262" s="74"/>
      <c r="I262" s="65"/>
      <c r="J262" s="67"/>
      <c r="K262" s="68"/>
      <c r="L262" s="68"/>
      <c r="M262" s="78"/>
      <c r="N262" s="69"/>
    </row>
    <row r="263" spans="2:14" ht="12.75" customHeight="1">
      <c r="B263" s="1" t="s">
        <v>101</v>
      </c>
      <c r="C263" s="91" t="s">
        <v>150</v>
      </c>
      <c r="D263" s="94" t="s">
        <v>78</v>
      </c>
      <c r="E263" s="94"/>
      <c r="F263" s="17"/>
      <c r="G263" s="17"/>
      <c r="H263" s="23"/>
      <c r="I263" s="17"/>
      <c r="J263" s="36"/>
      <c r="K263" s="46"/>
      <c r="L263" s="46"/>
      <c r="M263" s="77"/>
      <c r="N263" s="6"/>
    </row>
    <row r="264" spans="3:14" ht="12.75" customHeight="1">
      <c r="C264" s="91"/>
      <c r="D264" s="96" t="s">
        <v>75</v>
      </c>
      <c r="E264" s="96"/>
      <c r="F264" s="17"/>
      <c r="G264" s="17"/>
      <c r="H264" s="23"/>
      <c r="I264" s="17"/>
      <c r="J264" s="36"/>
      <c r="K264" s="46"/>
      <c r="L264" s="46"/>
      <c r="M264" s="77"/>
      <c r="N264" s="6"/>
    </row>
    <row r="265" spans="1:14" s="64" customFormat="1" ht="11.25">
      <c r="A265" s="70"/>
      <c r="C265" s="71"/>
      <c r="D265" s="71"/>
      <c r="E265" s="70"/>
      <c r="F265" s="70"/>
      <c r="G265" s="65"/>
      <c r="H265" s="74"/>
      <c r="I265" s="65"/>
      <c r="J265" s="67"/>
      <c r="K265" s="68"/>
      <c r="L265" s="68"/>
      <c r="M265" s="78"/>
      <c r="N265" s="69"/>
    </row>
    <row r="266" spans="1:14" ht="12.75" customHeight="1">
      <c r="A266" s="12"/>
      <c r="C266" s="63"/>
      <c r="D266" s="52">
        <v>2</v>
      </c>
      <c r="E266" s="52" t="s">
        <v>79</v>
      </c>
      <c r="F266" s="53">
        <f>E241</f>
        <v>423.1</v>
      </c>
      <c r="G266" s="49" t="s">
        <v>79</v>
      </c>
      <c r="H266" s="49">
        <f>E225</f>
        <v>52000</v>
      </c>
      <c r="I266" s="17"/>
      <c r="J266" s="36"/>
      <c r="K266" s="46"/>
      <c r="L266" s="46"/>
      <c r="M266" s="77"/>
      <c r="N266" s="6"/>
    </row>
    <row r="267" spans="1:14" ht="12.75" customHeight="1">
      <c r="A267" s="12"/>
      <c r="B267" s="12"/>
      <c r="C267" s="63"/>
      <c r="D267" s="93">
        <f>E236</f>
        <v>11</v>
      </c>
      <c r="E267" s="93"/>
      <c r="F267" s="93"/>
      <c r="G267" s="93"/>
      <c r="H267" s="93"/>
      <c r="I267" s="17"/>
      <c r="J267" s="36"/>
      <c r="K267" s="46"/>
      <c r="L267" s="46"/>
      <c r="M267" s="77"/>
      <c r="N267" s="6"/>
    </row>
    <row r="268" spans="4:14" s="64" customFormat="1" ht="11.25">
      <c r="D268" s="65"/>
      <c r="E268" s="65"/>
      <c r="F268" s="65"/>
      <c r="G268" s="65"/>
      <c r="H268" s="74"/>
      <c r="I268" s="65"/>
      <c r="J268" s="67"/>
      <c r="K268" s="68"/>
      <c r="L268" s="68"/>
      <c r="M268" s="78"/>
      <c r="N268" s="69"/>
    </row>
    <row r="269" spans="3:14" ht="12.75" customHeight="1">
      <c r="C269" s="91" t="s">
        <v>150</v>
      </c>
      <c r="D269" s="94">
        <f>+D266*F266*H266</f>
        <v>44002400</v>
      </c>
      <c r="E269" s="94"/>
      <c r="F269" s="17"/>
      <c r="G269" s="17"/>
      <c r="H269" s="23"/>
      <c r="I269" s="17"/>
      <c r="J269" s="36"/>
      <c r="K269" s="46"/>
      <c r="L269" s="46"/>
      <c r="M269" s="77"/>
      <c r="N269" s="6"/>
    </row>
    <row r="270" spans="3:14" ht="12.75" customHeight="1">
      <c r="C270" s="91"/>
      <c r="D270" s="95">
        <f>D267</f>
        <v>11</v>
      </c>
      <c r="E270" s="95"/>
      <c r="F270" s="17"/>
      <c r="G270" s="17"/>
      <c r="H270" s="23"/>
      <c r="I270" s="17"/>
      <c r="J270" s="36"/>
      <c r="K270" s="46"/>
      <c r="L270" s="46"/>
      <c r="M270" s="77"/>
      <c r="N270" s="6"/>
    </row>
    <row r="271" spans="4:14" s="64" customFormat="1" ht="11.25">
      <c r="D271" s="65"/>
      <c r="E271" s="65"/>
      <c r="F271" s="65"/>
      <c r="G271" s="65"/>
      <c r="H271" s="74"/>
      <c r="I271" s="65"/>
      <c r="J271" s="67"/>
      <c r="K271" s="68"/>
      <c r="L271" s="68"/>
      <c r="M271" s="78"/>
      <c r="N271" s="69"/>
    </row>
    <row r="272" spans="3:14" ht="12.75" customHeight="1">
      <c r="C272" s="91" t="s">
        <v>150</v>
      </c>
      <c r="D272" s="92">
        <f>+D266*F266*H266/D267</f>
        <v>4000218.1818181816</v>
      </c>
      <c r="E272" s="92"/>
      <c r="F272" s="17"/>
      <c r="G272" s="17"/>
      <c r="H272" s="23"/>
      <c r="I272" s="17"/>
      <c r="J272" s="36"/>
      <c r="K272" s="46"/>
      <c r="L272" s="46"/>
      <c r="M272" s="77"/>
      <c r="N272" s="6"/>
    </row>
    <row r="273" spans="3:14" ht="12.75" customHeight="1">
      <c r="C273" s="91"/>
      <c r="D273" s="25"/>
      <c r="E273" s="25"/>
      <c r="F273" s="17"/>
      <c r="G273" s="17"/>
      <c r="H273" s="23"/>
      <c r="I273" s="17"/>
      <c r="J273" s="36"/>
      <c r="K273" s="46"/>
      <c r="L273" s="46"/>
      <c r="M273" s="77"/>
      <c r="N273" s="6"/>
    </row>
    <row r="274" spans="4:14" s="64" customFormat="1" ht="11.25">
      <c r="D274" s="65"/>
      <c r="E274" s="65"/>
      <c r="F274" s="65"/>
      <c r="G274" s="65"/>
      <c r="H274" s="74"/>
      <c r="I274" s="65"/>
      <c r="J274" s="67"/>
      <c r="K274" s="68"/>
      <c r="L274" s="68"/>
      <c r="M274" s="78"/>
      <c r="N274" s="69"/>
    </row>
    <row r="275" spans="2:14" ht="12.75">
      <c r="B275" s="1" t="s">
        <v>101</v>
      </c>
      <c r="D275" s="44">
        <f>SQRT(D266*F266*H266/D267)</f>
        <v>2000.054544710764</v>
      </c>
      <c r="E275" s="55" t="s">
        <v>72</v>
      </c>
      <c r="F275" s="17"/>
      <c r="G275" s="17"/>
      <c r="H275" s="23"/>
      <c r="I275" s="17"/>
      <c r="J275" s="36"/>
      <c r="K275" s="46"/>
      <c r="L275" s="46"/>
      <c r="M275" s="77"/>
      <c r="N275" s="6"/>
    </row>
    <row r="276" spans="4:14" ht="12.75">
      <c r="D276" s="17"/>
      <c r="E276" s="25"/>
      <c r="F276" s="17"/>
      <c r="G276" s="17"/>
      <c r="H276" s="23"/>
      <c r="I276" s="17"/>
      <c r="J276" s="36"/>
      <c r="K276" s="46"/>
      <c r="L276" s="46"/>
      <c r="M276" s="77"/>
      <c r="N276" s="6"/>
    </row>
    <row r="277" spans="2:14" ht="12.75">
      <c r="B277" s="1" t="s">
        <v>102</v>
      </c>
      <c r="D277" s="17">
        <f>+E225/D275</f>
        <v>25.999290938097854</v>
      </c>
      <c r="E277" s="17" t="s">
        <v>103</v>
      </c>
      <c r="F277" s="17"/>
      <c r="G277" s="17"/>
      <c r="H277" s="23"/>
      <c r="I277" s="17"/>
      <c r="J277" s="36"/>
      <c r="K277" s="46"/>
      <c r="L277" s="46"/>
      <c r="M277" s="77"/>
      <c r="N277" s="6"/>
    </row>
    <row r="278" spans="4:14" ht="12.75">
      <c r="D278" s="17"/>
      <c r="E278" s="17"/>
      <c r="F278" s="17"/>
      <c r="G278" s="17"/>
      <c r="H278" s="23"/>
      <c r="I278" s="17"/>
      <c r="J278" s="36"/>
      <c r="K278" s="46"/>
      <c r="L278" s="46"/>
      <c r="M278" s="77"/>
      <c r="N278" s="6"/>
    </row>
    <row r="279" spans="1:14" ht="12.75">
      <c r="A279" s="11" t="s">
        <v>140</v>
      </c>
      <c r="D279" s="17"/>
      <c r="E279" s="17"/>
      <c r="F279" s="17"/>
      <c r="G279" s="17"/>
      <c r="H279" s="23"/>
      <c r="I279" s="17"/>
      <c r="J279" s="36"/>
      <c r="K279" s="46"/>
      <c r="L279" s="46"/>
      <c r="M279" s="77"/>
      <c r="N279" s="6"/>
    </row>
    <row r="280" spans="4:14" ht="12.75">
      <c r="D280" s="17"/>
      <c r="E280" s="17"/>
      <c r="F280" s="17"/>
      <c r="G280" s="17"/>
      <c r="H280" s="23"/>
      <c r="I280" s="17"/>
      <c r="J280" s="36"/>
      <c r="K280" s="46"/>
      <c r="L280" s="46"/>
      <c r="M280" s="77"/>
      <c r="N280" s="6"/>
    </row>
    <row r="281" spans="1:14" ht="12.75">
      <c r="A281" s="13" t="s">
        <v>8</v>
      </c>
      <c r="D281" s="17"/>
      <c r="E281" s="17"/>
      <c r="F281" s="17"/>
      <c r="G281" s="55"/>
      <c r="H281" s="23" t="s">
        <v>77</v>
      </c>
      <c r="I281" s="17"/>
      <c r="J281" s="36"/>
      <c r="K281" s="46"/>
      <c r="L281" s="46"/>
      <c r="M281" s="77"/>
      <c r="N281" s="6"/>
    </row>
    <row r="282" spans="4:14" ht="12.75">
      <c r="D282" s="17"/>
      <c r="E282" s="17"/>
      <c r="F282" s="17"/>
      <c r="G282" s="55"/>
      <c r="H282" s="23" t="s">
        <v>104</v>
      </c>
      <c r="I282" s="17"/>
      <c r="J282" s="36"/>
      <c r="K282" s="46"/>
      <c r="L282" s="46"/>
      <c r="M282" s="77"/>
      <c r="N282" s="6"/>
    </row>
    <row r="283" spans="4:14" ht="12.75">
      <c r="D283" s="17"/>
      <c r="E283" s="17"/>
      <c r="F283" s="17"/>
      <c r="G283" s="55"/>
      <c r="H283" s="23" t="s">
        <v>2</v>
      </c>
      <c r="I283" s="17"/>
      <c r="J283" s="36"/>
      <c r="K283" s="46"/>
      <c r="L283" s="46"/>
      <c r="M283" s="77"/>
      <c r="N283" s="6"/>
    </row>
    <row r="284" spans="2:14" ht="12.75">
      <c r="B284" s="1" t="s">
        <v>105</v>
      </c>
      <c r="C284" s="1" t="s">
        <v>139</v>
      </c>
      <c r="D284" s="17"/>
      <c r="E284" s="17"/>
      <c r="F284" s="17"/>
      <c r="G284" s="25"/>
      <c r="H284" s="34">
        <f>E241*D277</f>
        <v>11000.299995909203</v>
      </c>
      <c r="I284" s="17"/>
      <c r="J284" s="36"/>
      <c r="K284" s="46"/>
      <c r="L284" s="46"/>
      <c r="M284" s="77"/>
      <c r="N284" s="6"/>
    </row>
    <row r="285" spans="2:14" ht="12.75">
      <c r="B285" s="1" t="s">
        <v>106</v>
      </c>
      <c r="D285" s="17"/>
      <c r="E285" s="17"/>
      <c r="F285" s="17"/>
      <c r="G285" s="25"/>
      <c r="H285" s="34"/>
      <c r="I285" s="17"/>
      <c r="J285" s="36"/>
      <c r="K285" s="46"/>
      <c r="L285" s="46"/>
      <c r="M285" s="77"/>
      <c r="N285" s="6"/>
    </row>
    <row r="286" spans="2:14" ht="12.75">
      <c r="B286" s="1" t="s">
        <v>107</v>
      </c>
      <c r="D286" s="17" t="s">
        <v>145</v>
      </c>
      <c r="E286" s="17"/>
      <c r="F286" s="17"/>
      <c r="G286" s="25"/>
      <c r="H286" s="34">
        <f>E231*E236</f>
        <v>11000</v>
      </c>
      <c r="I286" s="17"/>
      <c r="J286" s="36"/>
      <c r="K286" s="46"/>
      <c r="L286" s="46"/>
      <c r="M286" s="77"/>
      <c r="N286" s="6"/>
    </row>
    <row r="287" spans="2:14" ht="12.75">
      <c r="B287" s="1" t="s">
        <v>108</v>
      </c>
      <c r="D287" s="17" t="s">
        <v>151</v>
      </c>
      <c r="E287" s="17"/>
      <c r="F287" s="17"/>
      <c r="G287" s="25"/>
      <c r="H287" s="34">
        <f>D275/2*E236</f>
        <v>11000.299995909203</v>
      </c>
      <c r="I287" s="17"/>
      <c r="J287" s="36"/>
      <c r="K287" s="46"/>
      <c r="L287" s="46"/>
      <c r="M287" s="77"/>
      <c r="N287" s="6"/>
    </row>
    <row r="288" spans="2:14" ht="12.75">
      <c r="B288" s="1" t="s">
        <v>110</v>
      </c>
      <c r="D288" s="17" t="s">
        <v>148</v>
      </c>
      <c r="E288" s="17"/>
      <c r="F288" s="17"/>
      <c r="G288" s="25"/>
      <c r="H288" s="22">
        <f>+E29/99*100</f>
        <v>1300000</v>
      </c>
      <c r="I288" s="17"/>
      <c r="J288" s="36"/>
      <c r="K288" s="46"/>
      <c r="L288" s="46"/>
      <c r="M288" s="77"/>
      <c r="N288" s="6"/>
    </row>
    <row r="289" spans="4:14" ht="13.5" thickBot="1">
      <c r="D289" s="17"/>
      <c r="E289" s="17"/>
      <c r="F289" s="17"/>
      <c r="G289" s="25"/>
      <c r="H289" s="19">
        <f>SUM(H284:H288)-0.5</f>
        <v>1333000.0999918184</v>
      </c>
      <c r="I289" s="17"/>
      <c r="J289" s="36"/>
      <c r="K289" s="46"/>
      <c r="L289" s="46"/>
      <c r="M289" s="77"/>
      <c r="N289" s="6"/>
    </row>
    <row r="290" spans="4:14" s="64" customFormat="1" ht="11.25">
      <c r="D290" s="65"/>
      <c r="E290" s="65"/>
      <c r="F290" s="65"/>
      <c r="G290" s="66"/>
      <c r="H290" s="74"/>
      <c r="I290" s="65"/>
      <c r="J290" s="67"/>
      <c r="K290" s="68"/>
      <c r="L290" s="68"/>
      <c r="M290" s="78"/>
      <c r="N290" s="69"/>
    </row>
    <row r="291" spans="2:14" ht="12.75">
      <c r="B291" s="1" t="s">
        <v>84</v>
      </c>
      <c r="D291" s="17"/>
      <c r="E291" s="17"/>
      <c r="F291" s="17"/>
      <c r="G291" s="25"/>
      <c r="H291" s="23">
        <v>38192</v>
      </c>
      <c r="I291" s="48">
        <f>H291/E225</f>
        <v>0.7344615384615385</v>
      </c>
      <c r="J291" s="36" t="s">
        <v>85</v>
      </c>
      <c r="K291" s="46"/>
      <c r="L291" s="46"/>
      <c r="M291" s="77"/>
      <c r="N291" s="6"/>
    </row>
    <row r="292" spans="4:14" s="64" customFormat="1" ht="11.25">
      <c r="D292" s="65"/>
      <c r="E292" s="65"/>
      <c r="F292" s="65"/>
      <c r="G292" s="66"/>
      <c r="H292" s="74"/>
      <c r="I292" s="65"/>
      <c r="J292" s="67"/>
      <c r="K292" s="68"/>
      <c r="L292" s="68"/>
      <c r="M292" s="78"/>
      <c r="N292" s="69"/>
    </row>
    <row r="293" spans="2:14" ht="13.5" thickBot="1">
      <c r="B293" s="1" t="s">
        <v>157</v>
      </c>
      <c r="D293" s="17"/>
      <c r="E293" s="17"/>
      <c r="F293" s="17"/>
      <c r="G293" s="62"/>
      <c r="H293" s="75">
        <f>H289/E225</f>
        <v>25.63461730753497</v>
      </c>
      <c r="I293" s="17"/>
      <c r="J293" s="36"/>
      <c r="K293" s="46"/>
      <c r="L293" s="46"/>
      <c r="M293" s="77"/>
      <c r="N293" s="6"/>
    </row>
    <row r="294" spans="1:14" ht="15.75">
      <c r="A294" s="90" t="s">
        <v>112</v>
      </c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6"/>
    </row>
    <row r="295" spans="1:14" ht="12.75">
      <c r="A295" s="89" t="s">
        <v>111</v>
      </c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6"/>
    </row>
    <row r="296" spans="1:14" ht="18.75" customHeight="1">
      <c r="A296" s="89"/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6"/>
    </row>
    <row r="297" spans="1:14" ht="12.75">
      <c r="A297" s="89"/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6"/>
    </row>
    <row r="298" spans="10:14" ht="12.75">
      <c r="J298" s="8"/>
      <c r="K298" s="8"/>
      <c r="L298" s="8"/>
      <c r="M298" s="77"/>
      <c r="N298" s="6"/>
    </row>
    <row r="299" spans="10:14" ht="12.75">
      <c r="J299" s="8"/>
      <c r="K299" s="4"/>
      <c r="L299" s="4"/>
      <c r="M299" s="6" t="s">
        <v>5</v>
      </c>
      <c r="N299" s="6"/>
    </row>
    <row r="300" spans="1:14" ht="12.75">
      <c r="A300" s="11" t="s">
        <v>118</v>
      </c>
      <c r="H300" s="3" t="s">
        <v>1</v>
      </c>
      <c r="J300" s="1" t="s">
        <v>115</v>
      </c>
      <c r="K300" s="4"/>
      <c r="L300" s="4"/>
      <c r="M300" s="77"/>
      <c r="N300" s="6"/>
    </row>
    <row r="301" spans="4:14" ht="12.75">
      <c r="D301" s="17"/>
      <c r="E301" s="17"/>
      <c r="F301" s="17"/>
      <c r="G301" s="17"/>
      <c r="H301" s="23" t="s">
        <v>2</v>
      </c>
      <c r="J301" s="23" t="s">
        <v>2</v>
      </c>
      <c r="K301" s="46"/>
      <c r="L301" s="46"/>
      <c r="M301" s="77"/>
      <c r="N301" s="6"/>
    </row>
    <row r="302" spans="1:13" ht="12.75">
      <c r="A302" s="13" t="s">
        <v>123</v>
      </c>
      <c r="C302" s="14"/>
      <c r="D302" s="14"/>
      <c r="E302" s="14"/>
      <c r="F302" s="14"/>
      <c r="G302" s="14"/>
      <c r="H302" s="15"/>
      <c r="J302" s="14"/>
      <c r="K302" s="14"/>
      <c r="L302" s="14"/>
      <c r="M302" s="77"/>
    </row>
    <row r="303" spans="1:13" ht="12.75">
      <c r="A303" s="13"/>
      <c r="B303" s="1" t="s">
        <v>23</v>
      </c>
      <c r="C303" s="14"/>
      <c r="D303" s="14"/>
      <c r="E303" s="14"/>
      <c r="F303" s="14"/>
      <c r="G303" s="14"/>
      <c r="H303" s="34">
        <f>+G200</f>
        <v>1332741.8687960196</v>
      </c>
      <c r="J303" s="56">
        <f>+J200</f>
        <v>25.65965132300038</v>
      </c>
      <c r="K303" s="14"/>
      <c r="L303" s="14"/>
      <c r="M303" s="77"/>
    </row>
    <row r="304" spans="2:13" ht="12.75">
      <c r="B304" s="1" t="s">
        <v>134</v>
      </c>
      <c r="C304" s="14"/>
      <c r="D304" s="14"/>
      <c r="E304" s="14"/>
      <c r="F304" s="14"/>
      <c r="G304" s="14"/>
      <c r="H304" s="20">
        <f>+H200</f>
        <v>450416.6312039804</v>
      </c>
      <c r="J304" s="57">
        <f>+K200</f>
        <v>9.008332624079609</v>
      </c>
      <c r="K304" s="14"/>
      <c r="L304" s="14"/>
      <c r="M304" s="77"/>
    </row>
    <row r="305" spans="3:13" ht="13.5" thickBot="1">
      <c r="C305" s="14"/>
      <c r="D305" s="14"/>
      <c r="E305" s="14"/>
      <c r="F305" s="14"/>
      <c r="G305" s="14"/>
      <c r="H305" s="40">
        <f>+H303+H304</f>
        <v>1783158.5</v>
      </c>
      <c r="I305" s="56"/>
      <c r="J305" s="14"/>
      <c r="K305" s="14"/>
      <c r="L305" s="14"/>
      <c r="M305" s="77"/>
    </row>
    <row r="306" spans="1:13" ht="12.75">
      <c r="A306" s="13" t="s">
        <v>116</v>
      </c>
      <c r="C306" s="14"/>
      <c r="D306" s="14"/>
      <c r="E306" s="14"/>
      <c r="F306" s="14"/>
      <c r="G306" s="14"/>
      <c r="H306" s="34"/>
      <c r="I306" s="56"/>
      <c r="J306" s="14"/>
      <c r="K306" s="14"/>
      <c r="L306" s="14"/>
      <c r="M306" s="77"/>
    </row>
    <row r="307" spans="3:13" ht="12.75">
      <c r="C307" s="14"/>
      <c r="D307" s="14"/>
      <c r="E307" s="14"/>
      <c r="F307" s="14"/>
      <c r="G307" s="14"/>
      <c r="H307" s="34"/>
      <c r="I307" s="56"/>
      <c r="J307" s="14"/>
      <c r="K307" s="14"/>
      <c r="L307" s="14"/>
      <c r="M307" s="77"/>
    </row>
    <row r="308" spans="2:13" ht="12.75">
      <c r="B308" s="1" t="s">
        <v>119</v>
      </c>
      <c r="C308" s="14"/>
      <c r="D308" s="14"/>
      <c r="E308" s="14"/>
      <c r="F308" s="14"/>
      <c r="G308" s="14"/>
      <c r="H308" s="34"/>
      <c r="I308" s="56"/>
      <c r="J308" s="14"/>
      <c r="K308" s="14"/>
      <c r="L308" s="14"/>
      <c r="M308" s="77"/>
    </row>
    <row r="309" spans="2:13" ht="12.75">
      <c r="B309" s="1" t="s">
        <v>121</v>
      </c>
      <c r="C309" s="14"/>
      <c r="D309" s="14"/>
      <c r="E309" s="14"/>
      <c r="F309" s="14"/>
      <c r="G309" s="14"/>
      <c r="H309" s="34">
        <f>+I248</f>
        <v>1371192.4</v>
      </c>
      <c r="I309" s="56"/>
      <c r="J309" s="56">
        <f>+K248</f>
        <v>26.369084615384615</v>
      </c>
      <c r="K309" s="14"/>
      <c r="L309" s="14"/>
      <c r="M309" s="77"/>
    </row>
    <row r="310" spans="2:13" ht="12.75">
      <c r="B310" s="1" t="s">
        <v>120</v>
      </c>
      <c r="C310" s="14"/>
      <c r="D310" s="14"/>
      <c r="E310" s="14"/>
      <c r="F310" s="14"/>
      <c r="G310" s="14"/>
      <c r="H310" s="34">
        <f>+I252</f>
        <v>450000</v>
      </c>
      <c r="I310" s="56"/>
      <c r="J310" s="56">
        <f>+K252</f>
        <v>9</v>
      </c>
      <c r="K310" s="14"/>
      <c r="L310" s="14"/>
      <c r="M310" s="77"/>
    </row>
    <row r="311" spans="3:13" ht="13.5" thickBot="1">
      <c r="C311" s="14"/>
      <c r="D311" s="14"/>
      <c r="E311" s="14"/>
      <c r="F311" s="14"/>
      <c r="G311" s="14"/>
      <c r="H311" s="40">
        <f>+H309+H310</f>
        <v>1821192.4</v>
      </c>
      <c r="I311" s="56"/>
      <c r="J311" s="14"/>
      <c r="K311" s="14"/>
      <c r="L311" s="14"/>
      <c r="M311" s="77"/>
    </row>
    <row r="312" spans="2:13" ht="12.75">
      <c r="B312" s="1" t="s">
        <v>122</v>
      </c>
      <c r="C312" s="14"/>
      <c r="D312" s="14"/>
      <c r="E312" s="14"/>
      <c r="F312" s="14"/>
      <c r="G312" s="14"/>
      <c r="H312" s="20"/>
      <c r="I312" s="56"/>
      <c r="J312" s="57"/>
      <c r="K312" s="14"/>
      <c r="L312" s="14"/>
      <c r="M312" s="77"/>
    </row>
    <row r="313" spans="2:13" ht="12.75">
      <c r="B313" s="1" t="s">
        <v>121</v>
      </c>
      <c r="C313" s="14"/>
      <c r="D313" s="14"/>
      <c r="E313" s="14"/>
      <c r="F313" s="14"/>
      <c r="G313" s="14"/>
      <c r="H313" s="20">
        <f>+H289</f>
        <v>1333000.0999918184</v>
      </c>
      <c r="I313" s="57"/>
      <c r="J313" s="57">
        <f>+H293</f>
        <v>25.63461730753497</v>
      </c>
      <c r="K313" s="14"/>
      <c r="L313" s="14"/>
      <c r="M313" s="86"/>
    </row>
    <row r="314" spans="2:13" ht="12.75">
      <c r="B314" s="1" t="s">
        <v>120</v>
      </c>
      <c r="C314" s="14"/>
      <c r="D314" s="14"/>
      <c r="E314" s="14"/>
      <c r="F314" s="14"/>
      <c r="G314" s="14"/>
      <c r="H314" s="34">
        <f>+I252</f>
        <v>450000</v>
      </c>
      <c r="I314" s="56"/>
      <c r="J314" s="56">
        <f>+K252</f>
        <v>9</v>
      </c>
      <c r="K314" s="14"/>
      <c r="L314" s="14"/>
      <c r="M314" s="86"/>
    </row>
    <row r="315" spans="3:13" ht="13.5" thickBot="1">
      <c r="C315" s="14"/>
      <c r="D315" s="14"/>
      <c r="E315" s="14"/>
      <c r="F315" s="14"/>
      <c r="G315" s="14"/>
      <c r="H315" s="40">
        <f>+H313+H314</f>
        <v>1783000.0999918184</v>
      </c>
      <c r="I315" s="56"/>
      <c r="J315" s="56"/>
      <c r="K315" s="14"/>
      <c r="L315" s="14"/>
      <c r="M315" s="86"/>
    </row>
    <row r="316" spans="3:13" ht="12.75">
      <c r="C316" s="14"/>
      <c r="D316" s="14"/>
      <c r="E316" s="14"/>
      <c r="F316" s="14"/>
      <c r="G316" s="14"/>
      <c r="H316" s="34"/>
      <c r="I316" s="56"/>
      <c r="J316" s="56"/>
      <c r="K316" s="14"/>
      <c r="L316" s="14"/>
      <c r="M316" s="86"/>
    </row>
    <row r="317" spans="1:13" ht="12.75">
      <c r="A317" s="11" t="s">
        <v>162</v>
      </c>
      <c r="C317" s="14"/>
      <c r="D317" s="14"/>
      <c r="E317" s="14"/>
      <c r="F317" s="14"/>
      <c r="G317" s="14"/>
      <c r="H317" s="34"/>
      <c r="I317" s="56"/>
      <c r="J317" s="14"/>
      <c r="K317" s="14"/>
      <c r="L317" s="14"/>
      <c r="M317" s="86"/>
    </row>
    <row r="318" spans="1:13" ht="12.75">
      <c r="A318" s="11"/>
      <c r="C318" s="14"/>
      <c r="D318" s="14"/>
      <c r="E318" s="14"/>
      <c r="F318" s="14"/>
      <c r="G318" s="14"/>
      <c r="H318" s="34"/>
      <c r="I318" s="56"/>
      <c r="J318" s="14"/>
      <c r="K318" s="14"/>
      <c r="L318" s="14"/>
      <c r="M318" s="86"/>
    </row>
    <row r="319" spans="2:13" ht="12.75">
      <c r="B319" s="1" t="s">
        <v>164</v>
      </c>
      <c r="C319" s="14"/>
      <c r="D319" s="14"/>
      <c r="E319" s="14"/>
      <c r="F319" s="14"/>
      <c r="G319" s="14"/>
      <c r="H319" s="34">
        <v>32400</v>
      </c>
      <c r="I319" s="56"/>
      <c r="J319" s="14"/>
      <c r="K319" s="14"/>
      <c r="L319" s="14"/>
      <c r="M319" s="86" t="s">
        <v>168</v>
      </c>
    </row>
    <row r="320" spans="2:13" ht="13.5" thickBot="1">
      <c r="B320" s="1" t="s">
        <v>163</v>
      </c>
      <c r="C320" s="14"/>
      <c r="D320" s="14"/>
      <c r="E320" s="14"/>
      <c r="F320" s="14"/>
      <c r="G320" s="14"/>
      <c r="H320" s="19">
        <v>21000</v>
      </c>
      <c r="I320" s="56"/>
      <c r="J320" s="14"/>
      <c r="K320" s="14"/>
      <c r="L320" s="14"/>
      <c r="M320" s="86">
        <v>10</v>
      </c>
    </row>
    <row r="321" spans="2:13" ht="12.75">
      <c r="B321" s="1" t="s">
        <v>165</v>
      </c>
      <c r="C321" s="14"/>
      <c r="D321" s="14"/>
      <c r="E321" s="14"/>
      <c r="F321" s="14"/>
      <c r="G321" s="14"/>
      <c r="H321" s="34">
        <f>H319-H320</f>
        <v>11400</v>
      </c>
      <c r="I321" s="56"/>
      <c r="J321" s="14"/>
      <c r="K321" s="14"/>
      <c r="L321" s="14"/>
      <c r="M321" s="86"/>
    </row>
    <row r="322" spans="2:13" ht="12.75">
      <c r="B322" s="1" t="s">
        <v>166</v>
      </c>
      <c r="C322" s="14"/>
      <c r="D322" s="14"/>
      <c r="E322" s="14"/>
      <c r="F322" s="14"/>
      <c r="G322" s="14"/>
      <c r="H322" s="34">
        <f>H321*0.2</f>
        <v>2280</v>
      </c>
      <c r="I322" s="56"/>
      <c r="J322" s="14"/>
      <c r="K322" s="14"/>
      <c r="L322" s="14"/>
      <c r="M322" s="86">
        <v>13</v>
      </c>
    </row>
    <row r="323" spans="2:13" ht="13.5" thickBot="1">
      <c r="B323" s="1" t="s">
        <v>167</v>
      </c>
      <c r="C323" s="14"/>
      <c r="D323" s="14"/>
      <c r="E323" s="14"/>
      <c r="F323" s="14"/>
      <c r="G323" s="14"/>
      <c r="H323" s="19">
        <v>1500</v>
      </c>
      <c r="I323" s="56"/>
      <c r="J323" s="14"/>
      <c r="K323" s="14"/>
      <c r="L323" s="14"/>
      <c r="M323" s="86">
        <v>10</v>
      </c>
    </row>
    <row r="324" spans="3:13" ht="13.5" thickBot="1">
      <c r="C324" s="14"/>
      <c r="D324" s="14"/>
      <c r="E324" s="14"/>
      <c r="F324" s="14"/>
      <c r="G324" s="14"/>
      <c r="H324" s="84">
        <f>SUM(H321:H323)</f>
        <v>15180</v>
      </c>
      <c r="I324" s="56"/>
      <c r="J324" s="14"/>
      <c r="K324" s="14"/>
      <c r="L324" s="14"/>
      <c r="M324" s="77"/>
    </row>
    <row r="325" spans="3:13" ht="12.75">
      <c r="C325" s="14"/>
      <c r="D325" s="14"/>
      <c r="E325" s="14"/>
      <c r="F325" s="14"/>
      <c r="G325" s="14"/>
      <c r="H325" s="23"/>
      <c r="I325" s="56"/>
      <c r="J325" s="56"/>
      <c r="K325" s="14"/>
      <c r="L325" s="14"/>
      <c r="M325" s="77"/>
    </row>
    <row r="326" spans="3:13" ht="12.75">
      <c r="C326" s="14"/>
      <c r="D326" s="14"/>
      <c r="E326" s="14"/>
      <c r="F326" s="14"/>
      <c r="G326" s="14"/>
      <c r="H326" s="23"/>
      <c r="I326" s="56"/>
      <c r="J326" s="56"/>
      <c r="K326" s="14"/>
      <c r="L326" s="14"/>
      <c r="M326" s="77"/>
    </row>
    <row r="327" spans="3:13" ht="12.75">
      <c r="C327" s="14"/>
      <c r="D327" s="14"/>
      <c r="E327" s="14"/>
      <c r="F327" s="14"/>
      <c r="G327" s="14"/>
      <c r="H327" s="23"/>
      <c r="I327" s="56"/>
      <c r="J327" s="56"/>
      <c r="K327" s="14"/>
      <c r="L327" s="14"/>
      <c r="M327" s="77"/>
    </row>
    <row r="328" spans="3:13" ht="12.75">
      <c r="C328" s="14"/>
      <c r="D328" s="14"/>
      <c r="E328" s="14"/>
      <c r="F328" s="14"/>
      <c r="G328" s="14"/>
      <c r="H328" s="23"/>
      <c r="I328" s="56"/>
      <c r="J328" s="56"/>
      <c r="K328" s="14"/>
      <c r="L328" s="14"/>
      <c r="M328" s="77"/>
    </row>
    <row r="329" spans="3:13" ht="12.75">
      <c r="C329" s="14"/>
      <c r="D329" s="14"/>
      <c r="E329" s="14"/>
      <c r="F329" s="14"/>
      <c r="G329" s="14"/>
      <c r="H329" s="23"/>
      <c r="I329" s="56"/>
      <c r="J329" s="56"/>
      <c r="K329" s="14"/>
      <c r="L329" s="14"/>
      <c r="M329" s="77"/>
    </row>
    <row r="330" spans="3:13" ht="12.75">
      <c r="C330" s="14"/>
      <c r="D330" s="14"/>
      <c r="E330" s="14"/>
      <c r="F330" s="14"/>
      <c r="G330" s="14"/>
      <c r="H330" s="23"/>
      <c r="I330" s="56"/>
      <c r="J330" s="56"/>
      <c r="K330" s="14"/>
      <c r="L330" s="14"/>
      <c r="M330" s="77"/>
    </row>
    <row r="331" spans="3:13" ht="12.75">
      <c r="C331" s="14"/>
      <c r="D331" s="14"/>
      <c r="E331" s="14"/>
      <c r="F331" s="14"/>
      <c r="G331" s="14"/>
      <c r="H331" s="23"/>
      <c r="I331" s="56"/>
      <c r="J331" s="56"/>
      <c r="K331" s="14"/>
      <c r="L331" s="14"/>
      <c r="M331" s="77"/>
    </row>
    <row r="332" spans="3:13" ht="12.75">
      <c r="C332" s="14"/>
      <c r="D332" s="14"/>
      <c r="E332" s="14"/>
      <c r="F332" s="14"/>
      <c r="G332" s="14"/>
      <c r="H332" s="23"/>
      <c r="I332" s="56"/>
      <c r="J332" s="56"/>
      <c r="K332" s="14"/>
      <c r="L332" s="14"/>
      <c r="M332" s="77"/>
    </row>
    <row r="333" spans="3:13" ht="12.75">
      <c r="C333" s="14"/>
      <c r="D333" s="14"/>
      <c r="E333" s="14"/>
      <c r="F333" s="14"/>
      <c r="G333" s="14"/>
      <c r="H333" s="23"/>
      <c r="I333" s="56"/>
      <c r="J333" s="56"/>
      <c r="K333" s="14"/>
      <c r="L333" s="14"/>
      <c r="M333" s="77"/>
    </row>
    <row r="334" spans="3:13" ht="12.75">
      <c r="C334" s="14"/>
      <c r="D334" s="14"/>
      <c r="E334" s="14"/>
      <c r="F334" s="14"/>
      <c r="G334" s="14"/>
      <c r="H334" s="23"/>
      <c r="I334" s="56"/>
      <c r="J334" s="56"/>
      <c r="K334" s="14"/>
      <c r="L334" s="14"/>
      <c r="M334" s="77"/>
    </row>
    <row r="335" spans="3:13" ht="12.75">
      <c r="C335" s="14"/>
      <c r="D335" s="14"/>
      <c r="E335" s="14"/>
      <c r="F335" s="14"/>
      <c r="G335" s="14"/>
      <c r="H335" s="1"/>
      <c r="I335" s="56"/>
      <c r="J335" s="14"/>
      <c r="K335" s="14"/>
      <c r="L335" s="14"/>
      <c r="M335" s="77"/>
    </row>
    <row r="336" spans="8:13" ht="12.75">
      <c r="H336" s="1"/>
      <c r="M336" s="1"/>
    </row>
    <row r="337" spans="8:13" ht="12.75">
      <c r="H337" s="1"/>
      <c r="M337" s="1"/>
    </row>
    <row r="338" spans="8:13" ht="12.75">
      <c r="H338" s="1"/>
      <c r="M338" s="1"/>
    </row>
    <row r="339" spans="8:13" ht="12.75">
      <c r="H339" s="1"/>
      <c r="M339" s="1"/>
    </row>
    <row r="340" spans="8:13" ht="12.75">
      <c r="H340" s="1"/>
      <c r="M340" s="1"/>
    </row>
    <row r="341" spans="8:13" ht="12.75">
      <c r="H341" s="1"/>
      <c r="M341" s="1"/>
    </row>
    <row r="342" spans="8:13" ht="12.75">
      <c r="H342" s="1"/>
      <c r="M342" s="1"/>
    </row>
    <row r="343" spans="3:13" ht="12.75">
      <c r="C343" s="14"/>
      <c r="D343" s="14"/>
      <c r="E343" s="14"/>
      <c r="F343" s="14"/>
      <c r="G343" s="14"/>
      <c r="H343" s="23"/>
      <c r="I343" s="56"/>
      <c r="J343" s="14"/>
      <c r="K343" s="14"/>
      <c r="L343" s="14"/>
      <c r="M343" s="77"/>
    </row>
    <row r="344" spans="3:13" ht="12.75">
      <c r="C344" s="14"/>
      <c r="D344" s="14"/>
      <c r="E344" s="14"/>
      <c r="F344" s="14"/>
      <c r="G344" s="14"/>
      <c r="H344" s="23"/>
      <c r="I344" s="56"/>
      <c r="J344" s="14"/>
      <c r="K344" s="14"/>
      <c r="L344" s="14"/>
      <c r="M344" s="77"/>
    </row>
    <row r="345" spans="3:13" ht="12.75">
      <c r="C345" s="14"/>
      <c r="D345" s="14"/>
      <c r="E345" s="14"/>
      <c r="F345" s="14"/>
      <c r="G345" s="14"/>
      <c r="H345" s="23"/>
      <c r="I345" s="56"/>
      <c r="J345" s="14"/>
      <c r="K345" s="14"/>
      <c r="L345" s="14"/>
      <c r="M345" s="77"/>
    </row>
    <row r="346" spans="3:13" ht="12.75">
      <c r="C346" s="14"/>
      <c r="D346" s="14"/>
      <c r="E346" s="14"/>
      <c r="F346" s="14"/>
      <c r="G346" s="14"/>
      <c r="H346" s="23"/>
      <c r="I346" s="56"/>
      <c r="J346" s="14"/>
      <c r="K346" s="14"/>
      <c r="L346" s="14"/>
      <c r="M346" s="77"/>
    </row>
    <row r="347" spans="3:13" ht="12.75">
      <c r="C347" s="14"/>
      <c r="D347" s="14"/>
      <c r="E347" s="14"/>
      <c r="F347" s="14"/>
      <c r="G347" s="14"/>
      <c r="H347" s="23"/>
      <c r="I347" s="56"/>
      <c r="J347" s="14"/>
      <c r="K347" s="14"/>
      <c r="L347" s="14"/>
      <c r="M347" s="77"/>
    </row>
    <row r="348" spans="3:13" ht="12.75">
      <c r="C348" s="14"/>
      <c r="D348" s="14"/>
      <c r="E348" s="14"/>
      <c r="F348" s="14"/>
      <c r="G348" s="14"/>
      <c r="H348" s="23"/>
      <c r="I348" s="56"/>
      <c r="J348" s="14"/>
      <c r="K348" s="14"/>
      <c r="L348" s="14"/>
      <c r="M348" s="77"/>
    </row>
    <row r="349" spans="3:13" ht="12.75">
      <c r="C349" s="14"/>
      <c r="D349" s="14"/>
      <c r="E349" s="14"/>
      <c r="F349" s="14"/>
      <c r="G349" s="14"/>
      <c r="H349" s="23"/>
      <c r="I349" s="56"/>
      <c r="J349" s="14"/>
      <c r="K349" s="14"/>
      <c r="L349" s="14"/>
      <c r="M349" s="77"/>
    </row>
    <row r="350" spans="3:13" ht="12.75">
      <c r="C350" s="14"/>
      <c r="D350" s="14"/>
      <c r="E350" s="14"/>
      <c r="F350" s="14"/>
      <c r="G350" s="14"/>
      <c r="H350" s="23"/>
      <c r="I350" s="56"/>
      <c r="J350" s="14"/>
      <c r="K350" s="14"/>
      <c r="L350" s="14"/>
      <c r="M350" s="77"/>
    </row>
    <row r="351" spans="3:13" ht="12.75">
      <c r="C351" s="14"/>
      <c r="D351" s="14"/>
      <c r="E351" s="14"/>
      <c r="F351" s="14"/>
      <c r="G351" s="14"/>
      <c r="H351" s="23"/>
      <c r="I351" s="56"/>
      <c r="J351" s="14"/>
      <c r="K351" s="14"/>
      <c r="L351" s="14"/>
      <c r="M351" s="77"/>
    </row>
    <row r="352" spans="3:13" ht="12.75">
      <c r="C352" s="14"/>
      <c r="D352" s="14"/>
      <c r="E352" s="14"/>
      <c r="F352" s="14"/>
      <c r="G352" s="14"/>
      <c r="H352" s="23"/>
      <c r="I352" s="56"/>
      <c r="J352" s="14"/>
      <c r="K352" s="14"/>
      <c r="L352" s="14"/>
      <c r="M352" s="15"/>
    </row>
    <row r="353" spans="3:13" ht="12.75">
      <c r="C353" s="14"/>
      <c r="D353" s="14"/>
      <c r="E353" s="14"/>
      <c r="F353" s="14"/>
      <c r="G353" s="14"/>
      <c r="H353" s="23"/>
      <c r="I353" s="56"/>
      <c r="J353" s="14"/>
      <c r="K353" s="14"/>
      <c r="L353" s="14"/>
      <c r="M353" s="15"/>
    </row>
    <row r="354" spans="3:13" ht="12.75">
      <c r="C354" s="14"/>
      <c r="D354" s="14"/>
      <c r="E354" s="14"/>
      <c r="F354" s="14"/>
      <c r="G354" s="14"/>
      <c r="H354" s="15"/>
      <c r="I354" s="56"/>
      <c r="J354" s="14"/>
      <c r="K354" s="14"/>
      <c r="L354" s="14"/>
      <c r="M354" s="15"/>
    </row>
    <row r="355" spans="3:13" ht="12.75">
      <c r="C355" s="14"/>
      <c r="D355" s="14"/>
      <c r="E355" s="14"/>
      <c r="F355" s="14"/>
      <c r="G355" s="14"/>
      <c r="H355" s="15"/>
      <c r="I355" s="14"/>
      <c r="J355" s="14"/>
      <c r="K355" s="14"/>
      <c r="L355" s="14"/>
      <c r="M355" s="15"/>
    </row>
    <row r="356" spans="3:13" ht="12.75">
      <c r="C356" s="14"/>
      <c r="D356" s="14"/>
      <c r="E356" s="14"/>
      <c r="F356" s="14"/>
      <c r="G356" s="14"/>
      <c r="H356" s="15"/>
      <c r="I356" s="14"/>
      <c r="J356" s="14"/>
      <c r="K356" s="14"/>
      <c r="L356" s="14"/>
      <c r="M356" s="15"/>
    </row>
    <row r="357" spans="3:13" ht="12.75">
      <c r="C357" s="14"/>
      <c r="D357" s="14"/>
      <c r="E357" s="14"/>
      <c r="F357" s="14"/>
      <c r="G357" s="14"/>
      <c r="H357" s="15"/>
      <c r="I357" s="14"/>
      <c r="J357" s="14"/>
      <c r="K357" s="14"/>
      <c r="L357" s="14"/>
      <c r="M357" s="15"/>
    </row>
    <row r="358" spans="3:13" ht="12.75">
      <c r="C358" s="14"/>
      <c r="D358" s="14"/>
      <c r="E358" s="14"/>
      <c r="F358" s="14"/>
      <c r="G358" s="14"/>
      <c r="H358" s="15"/>
      <c r="I358" s="14"/>
      <c r="J358" s="14"/>
      <c r="K358" s="14"/>
      <c r="L358" s="14"/>
      <c r="M358" s="15"/>
    </row>
    <row r="359" spans="3:13" ht="12.75">
      <c r="C359" s="14"/>
      <c r="D359" s="14"/>
      <c r="E359" s="14"/>
      <c r="F359" s="14"/>
      <c r="G359" s="14"/>
      <c r="H359" s="15"/>
      <c r="I359" s="14"/>
      <c r="J359" s="14"/>
      <c r="K359" s="14"/>
      <c r="L359" s="14"/>
      <c r="M359" s="15"/>
    </row>
    <row r="360" spans="3:13" ht="12.75">
      <c r="C360" s="14"/>
      <c r="D360" s="14"/>
      <c r="E360" s="14"/>
      <c r="F360" s="14"/>
      <c r="G360" s="14"/>
      <c r="H360" s="15"/>
      <c r="I360" s="14"/>
      <c r="J360" s="14"/>
      <c r="K360" s="14"/>
      <c r="L360" s="14"/>
      <c r="M360" s="15"/>
    </row>
    <row r="361" spans="3:13" ht="12.75">
      <c r="C361" s="14"/>
      <c r="D361" s="14"/>
      <c r="E361" s="14"/>
      <c r="F361" s="14"/>
      <c r="G361" s="14"/>
      <c r="H361" s="15"/>
      <c r="I361" s="14"/>
      <c r="J361" s="14"/>
      <c r="K361" s="14"/>
      <c r="L361" s="14"/>
      <c r="M361" s="15"/>
    </row>
    <row r="362" spans="3:13" ht="12.75">
      <c r="C362" s="14"/>
      <c r="D362" s="14"/>
      <c r="E362" s="14"/>
      <c r="F362" s="14"/>
      <c r="G362" s="14"/>
      <c r="H362" s="15"/>
      <c r="I362" s="14"/>
      <c r="J362" s="14"/>
      <c r="K362" s="14"/>
      <c r="L362" s="14"/>
      <c r="M362" s="15"/>
    </row>
    <row r="363" spans="3:13" ht="12.75">
      <c r="C363" s="14"/>
      <c r="D363" s="14"/>
      <c r="E363" s="14"/>
      <c r="F363" s="14"/>
      <c r="G363" s="14"/>
      <c r="H363" s="15"/>
      <c r="I363" s="14"/>
      <c r="J363" s="14"/>
      <c r="K363" s="14"/>
      <c r="L363" s="14"/>
      <c r="M363" s="15"/>
    </row>
    <row r="364" spans="3:13" ht="12.75">
      <c r="C364" s="14"/>
      <c r="D364" s="14"/>
      <c r="E364" s="14"/>
      <c r="F364" s="14"/>
      <c r="G364" s="14"/>
      <c r="H364" s="15"/>
      <c r="I364" s="14"/>
      <c r="J364" s="14"/>
      <c r="K364" s="14"/>
      <c r="L364" s="14"/>
      <c r="M364" s="15"/>
    </row>
  </sheetData>
  <mergeCells count="31">
    <mergeCell ref="A205:M205"/>
    <mergeCell ref="A105:M105"/>
    <mergeCell ref="A106:M108"/>
    <mergeCell ref="D146:E146"/>
    <mergeCell ref="G146:H146"/>
    <mergeCell ref="J146:K146"/>
    <mergeCell ref="E165:H165"/>
    <mergeCell ref="J194:K194"/>
    <mergeCell ref="G194:H194"/>
    <mergeCell ref="D194:E194"/>
    <mergeCell ref="D270:E270"/>
    <mergeCell ref="C263:C264"/>
    <mergeCell ref="D263:E263"/>
    <mergeCell ref="D264:E264"/>
    <mergeCell ref="A46:M46"/>
    <mergeCell ref="A47:M49"/>
    <mergeCell ref="A157:M157"/>
    <mergeCell ref="A158:M160"/>
    <mergeCell ref="J94:K94"/>
    <mergeCell ref="D94:E94"/>
    <mergeCell ref="G94:H94"/>
    <mergeCell ref="A295:M297"/>
    <mergeCell ref="A206:M208"/>
    <mergeCell ref="A253:M253"/>
    <mergeCell ref="A254:M256"/>
    <mergeCell ref="A294:M294"/>
    <mergeCell ref="C272:C273"/>
    <mergeCell ref="D272:E272"/>
    <mergeCell ref="D267:H267"/>
    <mergeCell ref="C269:C270"/>
    <mergeCell ref="D269:E269"/>
  </mergeCells>
  <printOptions horizontalCentered="1"/>
  <pageMargins left="0.7480314960629921" right="0.14" top="0.52" bottom="0.17" header="0.5118110236220472" footer="0.3937007874015748"/>
  <pageSetup horizontalDpi="360" verticalDpi="360" orientation="portrait" paperSize="9" r:id="rId1"/>
  <rowBreaks count="7" manualBreakCount="7">
    <brk id="45" max="255" man="1"/>
    <brk id="104" max="255" man="1"/>
    <brk id="156" max="255" man="1"/>
    <brk id="204" max="255" man="1"/>
    <brk id="252" max="255" man="1"/>
    <brk id="293" max="255" man="1"/>
    <brk id="3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E.J. Shirer</dc:creator>
  <cp:keywords/>
  <dc:description/>
  <cp:lastModifiedBy>Precision 220</cp:lastModifiedBy>
  <cp:lastPrinted>2005-12-03T13:03:16Z</cp:lastPrinted>
  <dcterms:created xsi:type="dcterms:W3CDTF">1999-06-30T19:17:30Z</dcterms:created>
  <dcterms:modified xsi:type="dcterms:W3CDTF">2005-12-03T13:07:01Z</dcterms:modified>
  <cp:category/>
  <cp:version/>
  <cp:contentType/>
  <cp:contentStatus/>
</cp:coreProperties>
</file>