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Appendix B1" sheetId="1" r:id="rId1"/>
    <sheet name="Appendix B2" sheetId="2" r:id="rId2"/>
    <sheet name="Appendix B3" sheetId="3" r:id="rId3"/>
    <sheet name="Appendix B4" sheetId="4" r:id="rId4"/>
    <sheet name="Appendix B5" sheetId="5" r:id="rId5"/>
    <sheet name="Refuse Teams" sheetId="6" r:id="rId6"/>
    <sheet name="Vehicles" sheetId="7" r:id="rId7"/>
    <sheet name="Sacks" sheetId="8" r:id="rId8"/>
    <sheet name="Bins" sheetId="9" r:id="rId9"/>
    <sheet name="Man &amp;Sup" sheetId="10" r:id="rId10"/>
    <sheet name="Rental" sheetId="11" r:id="rId11"/>
    <sheet name="Other Costs" sheetId="12" r:id="rId12"/>
    <sheet name="Support Services" sheetId="13" r:id="rId13"/>
    <sheet name="Original target" sheetId="14" r:id="rId14"/>
    <sheet name="Target adjustments" sheetId="15" r:id="rId15"/>
    <sheet name="Budget Schedule" sheetId="16" r:id="rId16"/>
  </sheets>
  <definedNames/>
  <calcPr fullCalcOnLoad="1"/>
</workbook>
</file>

<file path=xl/sharedStrings.xml><?xml version="1.0" encoding="utf-8"?>
<sst xmlns="http://schemas.openxmlformats.org/spreadsheetml/2006/main" count="796" uniqueCount="344">
  <si>
    <t>High density</t>
  </si>
  <si>
    <t>Medium density</t>
  </si>
  <si>
    <t>Low density</t>
  </si>
  <si>
    <t>Maximum houses per round</t>
  </si>
  <si>
    <t>No of houses</t>
  </si>
  <si>
    <t>No of rounds</t>
  </si>
  <si>
    <t>Sacks</t>
  </si>
  <si>
    <t>Bins</t>
  </si>
  <si>
    <t>2005/06</t>
  </si>
  <si>
    <t>2006/07</t>
  </si>
  <si>
    <t>2007/08</t>
  </si>
  <si>
    <t>Cost per employee</t>
  </si>
  <si>
    <t>Driver</t>
  </si>
  <si>
    <t>Collector</t>
  </si>
  <si>
    <t>Increase</t>
  </si>
  <si>
    <t>Current Hourly rate</t>
  </si>
  <si>
    <t>No of weeks</t>
  </si>
  <si>
    <t>Nos per team</t>
  </si>
  <si>
    <t>No of hours per week</t>
  </si>
  <si>
    <t>Costs per team (£s)</t>
  </si>
  <si>
    <t>Drivers</t>
  </si>
  <si>
    <t>Collectors</t>
  </si>
  <si>
    <t>Cost of teams (£)</t>
  </si>
  <si>
    <t>Category</t>
  </si>
  <si>
    <t>Oncosts</t>
  </si>
  <si>
    <t>NICs</t>
  </si>
  <si>
    <t>Superannuation</t>
  </si>
  <si>
    <t>Total Cost</t>
  </si>
  <si>
    <t>Density</t>
  </si>
  <si>
    <t>High</t>
  </si>
  <si>
    <t>Medium</t>
  </si>
  <si>
    <t>Low</t>
  </si>
  <si>
    <t>2004/05</t>
  </si>
  <si>
    <t>Total</t>
  </si>
  <si>
    <t>Supervisors</t>
  </si>
  <si>
    <t>Management and Clerical</t>
  </si>
  <si>
    <t>Executive Manager</t>
  </si>
  <si>
    <t>Domestic Collection Manager</t>
  </si>
  <si>
    <t>Domestic Collection Supervisors</t>
  </si>
  <si>
    <t>Administrative Officer</t>
  </si>
  <si>
    <t>Clerk</t>
  </si>
  <si>
    <t>PO14</t>
  </si>
  <si>
    <t>PO6</t>
  </si>
  <si>
    <t>SO1</t>
  </si>
  <si>
    <t>Sc5</t>
  </si>
  <si>
    <t>Sc3</t>
  </si>
  <si>
    <t>£</t>
  </si>
  <si>
    <t>Refuse Collection Vehicle</t>
  </si>
  <si>
    <t>Litter bin Collection Vehicle</t>
  </si>
  <si>
    <t>Sweeper Unit Vehicle</t>
  </si>
  <si>
    <t>Sweeping Team Cart</t>
  </si>
  <si>
    <t>Vehicle Running Costs</t>
  </si>
  <si>
    <t>Nos of Vehicles</t>
  </si>
  <si>
    <t>Running Costs (£)</t>
  </si>
  <si>
    <t>Running Costs / Vehicle(£)</t>
  </si>
  <si>
    <t>Inflation</t>
  </si>
  <si>
    <t>Total cost</t>
  </si>
  <si>
    <t>Total cost (£)</t>
  </si>
  <si>
    <t>Inflation 1992 -2003:</t>
  </si>
  <si>
    <t>1992 Prices</t>
  </si>
  <si>
    <t>2003 Prices</t>
  </si>
  <si>
    <t>Capital Charges</t>
  </si>
  <si>
    <t>Life (Yrs)</t>
  </si>
  <si>
    <t>Interest =</t>
  </si>
  <si>
    <t>Vehicle Purchase Cost</t>
  </si>
  <si>
    <t>Interest Charge / Vehicle (£)</t>
  </si>
  <si>
    <t>Capital Charge / Vehicle (£)</t>
  </si>
  <si>
    <t>Total Capital Charges (£)</t>
  </si>
  <si>
    <t>Total Interest Charges (£)</t>
  </si>
  <si>
    <t>Expected Life (Yrs)</t>
  </si>
  <si>
    <t>Vehicle No</t>
  </si>
  <si>
    <t>Age (Yrs)</t>
  </si>
  <si>
    <t>Written down value (£)</t>
  </si>
  <si>
    <t>Interest</t>
  </si>
  <si>
    <t>RCV1</t>
  </si>
  <si>
    <t>RCV2</t>
  </si>
  <si>
    <t>RCV3</t>
  </si>
  <si>
    <t>RCV4</t>
  </si>
  <si>
    <t>RCV5</t>
  </si>
  <si>
    <t>RCV6</t>
  </si>
  <si>
    <t>RCV7</t>
  </si>
  <si>
    <t>RCV8</t>
  </si>
  <si>
    <t>RCV9</t>
  </si>
  <si>
    <t>RCV10</t>
  </si>
  <si>
    <t>RCV11</t>
  </si>
  <si>
    <t>RCV12</t>
  </si>
  <si>
    <t>RCV13</t>
  </si>
  <si>
    <t>RCV14</t>
  </si>
  <si>
    <t>RCV15</t>
  </si>
  <si>
    <t>RCV16</t>
  </si>
  <si>
    <t>RCV17</t>
  </si>
  <si>
    <t>RCV18</t>
  </si>
  <si>
    <t>RCV19</t>
  </si>
  <si>
    <t>RCV20</t>
  </si>
  <si>
    <t>Residual Value (£)</t>
  </si>
  <si>
    <t>Humpa Units</t>
  </si>
  <si>
    <t>HU1</t>
  </si>
  <si>
    <t>HU2</t>
  </si>
  <si>
    <t>HU3</t>
  </si>
  <si>
    <t>HU4</t>
  </si>
  <si>
    <t>HU5</t>
  </si>
  <si>
    <t>HU6</t>
  </si>
  <si>
    <t>HU7</t>
  </si>
  <si>
    <t>HU8</t>
  </si>
  <si>
    <t>HU9</t>
  </si>
  <si>
    <t>HU10</t>
  </si>
  <si>
    <t>HU11</t>
  </si>
  <si>
    <t>HU12</t>
  </si>
  <si>
    <t>HU13</t>
  </si>
  <si>
    <t>HU14</t>
  </si>
  <si>
    <t>Depreciation</t>
  </si>
  <si>
    <t>Refuse Sacks</t>
  </si>
  <si>
    <t>Waste Disposal Contract</t>
  </si>
  <si>
    <t>Computer Costs</t>
  </si>
  <si>
    <t>Insurance</t>
  </si>
  <si>
    <t>Protective Clothing</t>
  </si>
  <si>
    <t>Depot</t>
  </si>
  <si>
    <t>Office</t>
  </si>
  <si>
    <t>Rental (£)</t>
  </si>
  <si>
    <t>Support Services (£)</t>
  </si>
  <si>
    <t>Costs (£)</t>
  </si>
  <si>
    <t>Wheelie Bin</t>
  </si>
  <si>
    <t>Wheelie Bins</t>
  </si>
  <si>
    <t>No of Bins</t>
  </si>
  <si>
    <t>No of bins</t>
  </si>
  <si>
    <t xml:space="preserve">No of bins </t>
  </si>
  <si>
    <t>Cost of Refuse Sacks</t>
  </si>
  <si>
    <t>Cost per Sack</t>
  </si>
  <si>
    <t>No Supplied</t>
  </si>
  <si>
    <t>Greater than</t>
  </si>
  <si>
    <t>Less than</t>
  </si>
  <si>
    <t>No of Weeks</t>
  </si>
  <si>
    <t>Average No per Household</t>
  </si>
  <si>
    <t>Rounding Adjustment</t>
  </si>
  <si>
    <t>Nos of Households Using Sacks</t>
  </si>
  <si>
    <t>No of Refuse Sacks</t>
  </si>
  <si>
    <t>Cost of Sacks</t>
  </si>
  <si>
    <t>All Graded SO1</t>
  </si>
  <si>
    <t>Employee costs</t>
  </si>
  <si>
    <t>Premises costs</t>
  </si>
  <si>
    <t>Transport costs</t>
  </si>
  <si>
    <t>Central Support Costs</t>
  </si>
  <si>
    <t>Adjustment for savings resulting from use of wheelie bins</t>
  </si>
  <si>
    <t>Increase for inflation</t>
  </si>
  <si>
    <t>Revised maximum target</t>
  </si>
  <si>
    <t>Actual target saving based on bin nos</t>
  </si>
  <si>
    <t>Adjustment for wheelie bins</t>
  </si>
  <si>
    <t>Less previous year's adjustment</t>
  </si>
  <si>
    <t>Actual adjustment to target for year</t>
  </si>
  <si>
    <t>Maximum target saving at previous year's prices</t>
  </si>
  <si>
    <t>Refuse collection teams</t>
  </si>
  <si>
    <t>Rental - Depot</t>
  </si>
  <si>
    <t>Rental - Office</t>
  </si>
  <si>
    <t>Supplies and Services</t>
  </si>
  <si>
    <t>Income</t>
  </si>
  <si>
    <t>-</t>
  </si>
  <si>
    <t>Net Expenditure</t>
  </si>
  <si>
    <t>Cost / team</t>
  </si>
  <si>
    <t>₤</t>
  </si>
  <si>
    <t>Humpa units</t>
  </si>
  <si>
    <t>Direct costs (Pay, NI,Superann)</t>
  </si>
  <si>
    <t>Indirect costs</t>
  </si>
  <si>
    <t>Recruitment and training</t>
  </si>
  <si>
    <t>Total employee costs</t>
  </si>
  <si>
    <t>Total premises costs</t>
  </si>
  <si>
    <t>Running costs</t>
  </si>
  <si>
    <t>Total transport costs</t>
  </si>
  <si>
    <t>Total supplies and services costs</t>
  </si>
  <si>
    <t>Total capital charges</t>
  </si>
  <si>
    <t>Original target</t>
  </si>
  <si>
    <t>RCV21</t>
  </si>
  <si>
    <t>Change in transport costs</t>
  </si>
  <si>
    <t>Change in no of employees</t>
  </si>
  <si>
    <t>Waste disposal charges</t>
  </si>
  <si>
    <t>Revised budget summary</t>
  </si>
  <si>
    <t>Cumulative adjustments</t>
  </si>
  <si>
    <t>Cost per Sack (pence)</t>
  </si>
  <si>
    <t>Inflation increase</t>
  </si>
  <si>
    <t>Revised target</t>
  </si>
  <si>
    <t>Nosofemployees</t>
  </si>
  <si>
    <t>Cost of additional employee</t>
  </si>
  <si>
    <t>Cost of redundancy</t>
  </si>
  <si>
    <t>Total direct cost (£)</t>
  </si>
  <si>
    <t>Dwellings using bins</t>
  </si>
  <si>
    <t>Dwellings using sacks</t>
  </si>
  <si>
    <t>Dwellings / round</t>
  </si>
  <si>
    <t>Bin teams</t>
  </si>
  <si>
    <t>Sack teams</t>
  </si>
  <si>
    <t>Saving based on spare capacity x cost per team</t>
  </si>
  <si>
    <t>Page</t>
  </si>
  <si>
    <t>Teams (Before rounding up)</t>
  </si>
  <si>
    <t>Teams (After rounding up)</t>
  </si>
  <si>
    <t>Total no. of employees in sack teams</t>
  </si>
  <si>
    <t>Total no. of employees in bin teams</t>
  </si>
  <si>
    <t>Employees per team</t>
  </si>
  <si>
    <t>Total dwellings</t>
  </si>
  <si>
    <t>Total  dwellings</t>
  </si>
  <si>
    <t xml:space="preserve">          £</t>
  </si>
  <si>
    <t xml:space="preserve">            £</t>
  </si>
  <si>
    <t xml:space="preserve">               £</t>
  </si>
  <si>
    <t>Refuse collection vehicles</t>
  </si>
  <si>
    <t>10 Yrs</t>
  </si>
  <si>
    <t>Total additional depreciation</t>
  </si>
  <si>
    <t>Total additional interest</t>
  </si>
  <si>
    <t>Original MTFP budget summary</t>
  </si>
  <si>
    <t>Changes in costs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</si>
  <si>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</si>
  <si>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</si>
  <si>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</si>
  <si>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</si>
  <si>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</si>
  <si>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</si>
  <si>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</si>
  <si>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</si>
  <si>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</si>
  <si>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</si>
  <si>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</si>
  <si>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</si>
  <si>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 + H</t>
  </si>
  <si>
    <t>C + I</t>
  </si>
  <si>
    <t>D + J</t>
  </si>
  <si>
    <t>F + K + L</t>
  </si>
  <si>
    <t>MTFP net expenditure total after adjustment for bins</t>
  </si>
  <si>
    <t>Revised budget net expenditure</t>
  </si>
  <si>
    <t>Revised budget exceeds MTFP by:</t>
  </si>
  <si>
    <t>MTFP net expenditure adjustment for wheelie bins</t>
  </si>
  <si>
    <t>Total changes in costs arising from wheelie bins</t>
  </si>
  <si>
    <t>Reconciliation</t>
  </si>
  <si>
    <t>Potential saving in teams (Spare capacity rounded down)</t>
  </si>
  <si>
    <t>APPENDIX 2A</t>
  </si>
  <si>
    <t xml:space="preserve">   High</t>
  </si>
  <si>
    <t xml:space="preserve">   Medium</t>
  </si>
  <si>
    <t xml:space="preserve">   Low</t>
  </si>
  <si>
    <t>1.  Employees needed for sack teams</t>
  </si>
  <si>
    <t>2.  Employees needed for bin teams</t>
  </si>
  <si>
    <t>3.  Summary of employees needed</t>
  </si>
  <si>
    <t>QUESTION 2</t>
  </si>
  <si>
    <t>APPENDIX 2B</t>
  </si>
  <si>
    <t>2.  Transport</t>
  </si>
  <si>
    <t>1.  Direct Employee Costs</t>
  </si>
  <si>
    <t xml:space="preserve">   Refuse collection teams (sacks)</t>
  </si>
  <si>
    <t xml:space="preserve">   Refuse collection teams (bins)</t>
  </si>
  <si>
    <r>
      <t xml:space="preserve">   </t>
    </r>
    <r>
      <rPr>
        <u val="single"/>
        <sz val="10"/>
        <rFont val="Times New Roman"/>
        <family val="1"/>
      </rPr>
      <t>Plus</t>
    </r>
    <r>
      <rPr>
        <sz val="10"/>
        <rFont val="Times New Roman"/>
        <family val="1"/>
      </rPr>
      <t xml:space="preserve"> spare vehicle</t>
    </r>
  </si>
  <si>
    <t xml:space="preserve">   Vehicles already owned</t>
  </si>
  <si>
    <t xml:space="preserve">   Vehicles to be purchased - permanent change</t>
  </si>
  <si>
    <t xml:space="preserve">   Vehicles to be hired - temporary increase</t>
  </si>
  <si>
    <t xml:space="preserve">   Cost per team</t>
  </si>
  <si>
    <t xml:space="preserve">   No. of teams</t>
  </si>
  <si>
    <t xml:space="preserve">   Humpa units (One per bin team plus spare)</t>
  </si>
  <si>
    <t xml:space="preserve">   Cost per refuse collection vehicle</t>
  </si>
  <si>
    <t xml:space="preserve">   Cost per Humpa unit</t>
  </si>
  <si>
    <t xml:space="preserve">   Vehicle hire costs (For a full year)</t>
  </si>
  <si>
    <t xml:space="preserve">   Vehicle running costs</t>
  </si>
  <si>
    <t xml:space="preserve">   Hire costs</t>
  </si>
  <si>
    <t xml:space="preserve">   Revised transport costs</t>
  </si>
  <si>
    <t xml:space="preserve">   Less original MTFP budget</t>
  </si>
  <si>
    <t xml:space="preserve">   Revised direct employee costs</t>
  </si>
  <si>
    <t>3.  Supplies and services</t>
  </si>
  <si>
    <t xml:space="preserve">   Nos of dwellings using sacks</t>
  </si>
  <si>
    <t xml:space="preserve">   No. of sacks per week (@ 1.5 per dwelling)</t>
  </si>
  <si>
    <t xml:space="preserve">   Annual no. of refuse sacks required (52 weeks)</t>
  </si>
  <si>
    <t xml:space="preserve">   Cost of sacks (pence)</t>
  </si>
  <si>
    <t xml:space="preserve">   Revised cost of refuse sacks</t>
  </si>
  <si>
    <t xml:space="preserve">   Change in cost of sacks</t>
  </si>
  <si>
    <t>4.  Capital charges</t>
  </si>
  <si>
    <t xml:space="preserve">   No of additional vehicles (Cumulative)</t>
  </si>
  <si>
    <t xml:space="preserve">   Capital charge per vehicle</t>
  </si>
  <si>
    <t xml:space="preserve">   Depreciation</t>
  </si>
  <si>
    <t xml:space="preserve">   Interest</t>
  </si>
  <si>
    <t xml:space="preserve">   Additional capital charges</t>
  </si>
  <si>
    <t xml:space="preserve">     Depreciation</t>
  </si>
  <si>
    <t xml:space="preserve">     Interest</t>
  </si>
  <si>
    <t xml:space="preserve">   Current replacement cost</t>
  </si>
  <si>
    <t xml:space="preserve">   Residual value</t>
  </si>
  <si>
    <t xml:space="preserve">   Expected Life</t>
  </si>
  <si>
    <t xml:space="preserve">   Asset Age</t>
  </si>
  <si>
    <t xml:space="preserve">   Written down value</t>
  </si>
  <si>
    <t xml:space="preserve">   Interest rate</t>
  </si>
  <si>
    <t xml:space="preserve">   Depreciation per unit</t>
  </si>
  <si>
    <t xml:space="preserve">   Interest per unit</t>
  </si>
  <si>
    <t xml:space="preserve">   Number required (Cumulative)</t>
  </si>
  <si>
    <t xml:space="preserve">   Number of units purchased</t>
  </si>
  <si>
    <t>Additional Capital Charges</t>
  </si>
  <si>
    <t>2005/06 units</t>
  </si>
  <si>
    <t>2006/07 units</t>
  </si>
  <si>
    <t>2007/08 units</t>
  </si>
  <si>
    <t xml:space="preserve">   Refuse collection vehicles</t>
  </si>
  <si>
    <t xml:space="preserve">   Humpa units</t>
  </si>
  <si>
    <t xml:space="preserve">   Wheelie bins</t>
  </si>
  <si>
    <t xml:space="preserve">   Employees</t>
  </si>
  <si>
    <t xml:space="preserve">   Premises</t>
  </si>
  <si>
    <t xml:space="preserve">   Transport</t>
  </si>
  <si>
    <t xml:space="preserve">   Supplies &amp; services</t>
  </si>
  <si>
    <t xml:space="preserve">   Central support charges</t>
  </si>
  <si>
    <t xml:space="preserve">   Capital charges</t>
  </si>
  <si>
    <t xml:space="preserve">   Income</t>
  </si>
  <si>
    <t xml:space="preserve">   Net expenditure</t>
  </si>
  <si>
    <t xml:space="preserve">   Direct employee costs</t>
  </si>
  <si>
    <t xml:space="preserve">   Tranpsort costs</t>
  </si>
  <si>
    <t xml:space="preserve">   Refuse Sacks</t>
  </si>
  <si>
    <t>5.  Comparison - Net Approach</t>
  </si>
  <si>
    <t xml:space="preserve">   MTFP net expenditure adjustment for wheelie bins</t>
  </si>
  <si>
    <t>6.  Comparison - Total Approach</t>
  </si>
  <si>
    <t>1.  Potential savings from mixed rounds with bins</t>
  </si>
  <si>
    <t>APPENDIX 2D</t>
  </si>
  <si>
    <t>APPENDIX 2C</t>
  </si>
  <si>
    <t>Teams Required</t>
  </si>
  <si>
    <t xml:space="preserve">   Density category</t>
  </si>
  <si>
    <t xml:space="preserve">   No of houses</t>
  </si>
  <si>
    <t xml:space="preserve">   Max dwellings per round</t>
  </si>
  <si>
    <t xml:space="preserve">   No of teams required</t>
  </si>
  <si>
    <t xml:space="preserve">   Actual no of teams once all converted to bins</t>
  </si>
  <si>
    <t xml:space="preserve">   Spare capacity</t>
  </si>
  <si>
    <t xml:space="preserve">     Direct employee costs</t>
  </si>
  <si>
    <t xml:space="preserve">     Vehicle running costs</t>
  </si>
  <si>
    <t xml:space="preserve">     Humpa running costs</t>
  </si>
  <si>
    <t xml:space="preserve">     Vehicle depreciation</t>
  </si>
  <si>
    <t xml:space="preserve">     Humpa depreciation</t>
  </si>
  <si>
    <t>(i),7</t>
  </si>
  <si>
    <t>Appx 2A</t>
  </si>
  <si>
    <t>Appx 2B</t>
  </si>
  <si>
    <t>(v)</t>
  </si>
  <si>
    <t>Potential Savings (2007/08)</t>
  </si>
  <si>
    <t>Net Change (8)</t>
  </si>
  <si>
    <t>Increase (Decrease) in direct emplyee costs</t>
  </si>
  <si>
    <t>Vehicle numbers</t>
  </si>
  <si>
    <t xml:space="preserve">   Total No.of teams (One vehicle per team)</t>
  </si>
  <si>
    <t xml:space="preserve">   Total No.of vehicles</t>
  </si>
  <si>
    <t xml:space="preserve">   Humpa running costs</t>
  </si>
  <si>
    <t>Year 1</t>
  </si>
  <si>
    <t>Year 2</t>
  </si>
  <si>
    <t>Year 3</t>
  </si>
  <si>
    <t>Changes in costs exceed budget adjustment by:</t>
  </si>
  <si>
    <t xml:space="preserve">   Transport costs</t>
  </si>
  <si>
    <t xml:space="preserve">   Refuse sacks</t>
  </si>
  <si>
    <t xml:space="preserve">     Humpa interest (Year 1) *</t>
  </si>
  <si>
    <t xml:space="preserve">    would purchase one less Humpa unit in 2007/08. </t>
  </si>
  <si>
    <t xml:space="preserve">     Vehicle interest (Year 3) *</t>
  </si>
  <si>
    <t>* This assumes that the authority would not dispose of an new vehicles in 2007/08 and</t>
  </si>
  <si>
    <t>1½ marks</t>
  </si>
  <si>
    <t>1 mark</t>
  </si>
  <si>
    <t>2 marks</t>
  </si>
  <si>
    <t>½ marks</t>
  </si>
  <si>
    <t>½ mark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</si>
</sst>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_;\(#,##0.00\)_ ;&quot;-&quot;____;"/>
    <numFmt numFmtId="165" formatCode="#,##0.00__;\(#,##0.00\)_ ;&quot;-&quot;____;_-@_-"/>
    <numFmt numFmtId="166" formatCode="#,##0.0__;\(#,##0.0\)_ ;&quot;-&quot;____;_-@_-"/>
    <numFmt numFmtId="167" formatCode="#,##0__;\(#,##0\)_ ;&quot;-&quot;____;_-@_-"/>
    <numFmt numFmtId="168" formatCode="0.0%"/>
    <numFmt numFmtId="169" formatCode="#,##0.000__;\(#,##0.000\)_ ;&quot;-&quot;____;_-@_-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#,##0.0000__;\(#,##0.0000\)_ ;&quot;-&quot;____;_-@_-"/>
    <numFmt numFmtId="173" formatCode="#,##0.00000__;\(#,##0.00000\)_ ;&quot;-&quot;____;_-@_-"/>
    <numFmt numFmtId="174" formatCode="#,##0.000000__;\(#,##0.000000\)_ ;&quot;-&quot;____;_-@_-"/>
    <numFmt numFmtId="175" formatCode="#,##0.0000000__;\(#,##0.0000000\)_ ;&quot;-&quot;____;_-@_-"/>
    <numFmt numFmtId="176" formatCode="#,##0.00000000__;\(#,##0.00000000\)_ ;&quot;-&quot;____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&quot;Yrs&quot;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5" fontId="4" fillId="0" borderId="0" xfId="0" applyNumberFormat="1" applyFont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15" applyNumberFormat="1" applyFont="1" applyAlignment="1" quotePrefix="1">
      <alignment/>
    </xf>
    <xf numFmtId="165" fontId="4" fillId="0" borderId="0" xfId="15" applyNumberFormat="1" applyFont="1" applyAlignment="1">
      <alignment/>
    </xf>
    <xf numFmtId="9" fontId="4" fillId="0" borderId="0" xfId="21" applyFont="1" applyAlignment="1">
      <alignment/>
    </xf>
    <xf numFmtId="165" fontId="3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 quotePrefix="1">
      <alignment/>
    </xf>
    <xf numFmtId="9" fontId="4" fillId="0" borderId="0" xfId="21" applyFont="1" applyAlignment="1">
      <alignment horizontal="center"/>
    </xf>
    <xf numFmtId="168" fontId="4" fillId="0" borderId="0" xfId="21" applyNumberFormat="1" applyFont="1" applyAlignment="1">
      <alignment horizontal="center"/>
    </xf>
    <xf numFmtId="169" fontId="4" fillId="0" borderId="0" xfId="0" applyNumberFormat="1" applyFont="1" applyAlignment="1">
      <alignment/>
    </xf>
    <xf numFmtId="168" fontId="4" fillId="0" borderId="0" xfId="21" applyNumberFormat="1" applyFont="1" applyAlignment="1">
      <alignment/>
    </xf>
    <xf numFmtId="0" fontId="4" fillId="0" borderId="0" xfId="0" applyFont="1" applyAlignment="1">
      <alignment/>
    </xf>
    <xf numFmtId="165" fontId="3" fillId="0" borderId="0" xfId="15" applyNumberFormat="1" applyFont="1" applyAlignment="1">
      <alignment/>
    </xf>
    <xf numFmtId="168" fontId="3" fillId="0" borderId="0" xfId="21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Alignment="1" quotePrefix="1">
      <alignment horizontal="center"/>
    </xf>
    <xf numFmtId="165" fontId="6" fillId="0" borderId="0" xfId="0" applyNumberFormat="1" applyFont="1" applyFill="1" applyAlignment="1" quotePrefix="1">
      <alignment horizontal="center"/>
    </xf>
    <xf numFmtId="9" fontId="6" fillId="0" borderId="0" xfId="2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/>
    </xf>
    <xf numFmtId="167" fontId="6" fillId="0" borderId="1" xfId="0" applyNumberFormat="1" applyFont="1" applyFill="1" applyBorder="1" applyAlignment="1">
      <alignment/>
    </xf>
    <xf numFmtId="167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168" fontId="6" fillId="0" borderId="0" xfId="21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67" fontId="6" fillId="0" borderId="1" xfId="0" applyNumberFormat="1" applyFont="1" applyFill="1" applyBorder="1" applyAlignment="1" quotePrefix="1">
      <alignment/>
    </xf>
    <xf numFmtId="167" fontId="6" fillId="0" borderId="0" xfId="0" applyNumberFormat="1" applyFont="1" applyFill="1" applyBorder="1" applyAlignment="1" quotePrefix="1">
      <alignment/>
    </xf>
    <xf numFmtId="0" fontId="5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 quotePrefix="1">
      <alignment/>
    </xf>
    <xf numFmtId="165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15" applyNumberFormat="1" applyFont="1" applyFill="1" applyAlignment="1" quotePrefix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0" fontId="6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7" fontId="5" fillId="0" borderId="2" xfId="0" applyNumberFormat="1" applyFont="1" applyFill="1" applyBorder="1" applyAlignment="1">
      <alignment/>
    </xf>
    <xf numFmtId="167" fontId="6" fillId="0" borderId="0" xfId="0" applyNumberFormat="1" applyFont="1" applyBorder="1" applyAlignment="1">
      <alignment horizontal="right"/>
    </xf>
    <xf numFmtId="165" fontId="5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165" fontId="6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/>
    </xf>
    <xf numFmtId="167" fontId="5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Fill="1" applyAlignment="1">
      <alignment vertical="top"/>
    </xf>
    <xf numFmtId="6" fontId="6" fillId="0" borderId="0" xfId="0" applyNumberFormat="1" applyFont="1" applyFill="1" applyAlignment="1">
      <alignment/>
    </xf>
    <xf numFmtId="165" fontId="6" fillId="0" borderId="0" xfId="0" applyNumberFormat="1" applyFont="1" applyAlignment="1" quotePrefix="1">
      <alignment horizontal="right"/>
    </xf>
    <xf numFmtId="165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Alignment="1" quotePrefix="1">
      <alignment horizontal="right"/>
    </xf>
    <xf numFmtId="0" fontId="6" fillId="0" borderId="0" xfId="0" applyNumberFormat="1" applyFont="1" applyFill="1" applyAlignment="1" quotePrefix="1">
      <alignment horizontal="right"/>
    </xf>
    <xf numFmtId="167" fontId="6" fillId="0" borderId="0" xfId="0" applyNumberFormat="1" applyFont="1" applyFill="1" applyBorder="1" applyAlignment="1">
      <alignment horizontal="right"/>
    </xf>
    <xf numFmtId="168" fontId="6" fillId="0" borderId="0" xfId="21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65" fontId="5" fillId="0" borderId="0" xfId="15" applyNumberFormat="1" applyFont="1" applyFill="1" applyAlignment="1">
      <alignment/>
    </xf>
    <xf numFmtId="165" fontId="7" fillId="0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/>
    </xf>
    <xf numFmtId="165" fontId="6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/>
    </xf>
    <xf numFmtId="0" fontId="5" fillId="3" borderId="0" xfId="0" applyNumberFormat="1" applyFont="1" applyFill="1" applyAlignment="1">
      <alignment horizontal="right"/>
    </xf>
    <xf numFmtId="0" fontId="6" fillId="3" borderId="0" xfId="0" applyNumberFormat="1" applyFont="1" applyFill="1" applyAlignment="1">
      <alignment/>
    </xf>
    <xf numFmtId="167" fontId="6" fillId="0" borderId="3" xfId="0" applyNumberFormat="1" applyFont="1" applyFill="1" applyBorder="1" applyAlignment="1">
      <alignment/>
    </xf>
    <xf numFmtId="165" fontId="6" fillId="0" borderId="3" xfId="0" applyNumberFormat="1" applyFont="1" applyFill="1" applyBorder="1" applyAlignment="1">
      <alignment/>
    </xf>
    <xf numFmtId="167" fontId="6" fillId="0" borderId="4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left" vertical="top"/>
    </xf>
    <xf numFmtId="167" fontId="5" fillId="0" borderId="2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9" fillId="0" borderId="0" xfId="0" applyNumberFormat="1" applyFont="1" applyFill="1" applyAlignment="1">
      <alignment/>
    </xf>
    <xf numFmtId="167" fontId="5" fillId="0" borderId="3" xfId="0" applyNumberFormat="1" applyFont="1" applyFill="1" applyBorder="1" applyAlignment="1">
      <alignment/>
    </xf>
    <xf numFmtId="167" fontId="6" fillId="0" borderId="3" xfId="0" applyNumberFormat="1" applyFont="1" applyFill="1" applyBorder="1" applyAlignment="1" quotePrefix="1">
      <alignment/>
    </xf>
    <xf numFmtId="167" fontId="6" fillId="0" borderId="6" xfId="0" applyNumberFormat="1" applyFont="1" applyFill="1" applyBorder="1" applyAlignment="1" quotePrefix="1">
      <alignment/>
    </xf>
    <xf numFmtId="2" fontId="6" fillId="0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right"/>
    </xf>
    <xf numFmtId="165" fontId="9" fillId="0" borderId="0" xfId="15" applyNumberFormat="1" applyFont="1" applyFill="1" applyAlignment="1">
      <alignment/>
    </xf>
    <xf numFmtId="165" fontId="9" fillId="0" borderId="0" xfId="0" applyNumberFormat="1" applyFont="1" applyAlignment="1">
      <alignment/>
    </xf>
    <xf numFmtId="165" fontId="6" fillId="0" borderId="3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7" fontId="5" fillId="0" borderId="6" xfId="0" applyNumberFormat="1" applyFont="1" applyFill="1" applyBorder="1" applyAlignment="1">
      <alignment/>
    </xf>
    <xf numFmtId="167" fontId="5" fillId="0" borderId="6" xfId="0" applyNumberFormat="1" applyFont="1" applyFill="1" applyBorder="1" applyAlignment="1" quotePrefix="1">
      <alignment/>
    </xf>
    <xf numFmtId="167" fontId="5" fillId="0" borderId="3" xfId="0" applyNumberFormat="1" applyFont="1" applyFill="1" applyBorder="1" applyAlignment="1" quotePrefix="1">
      <alignment/>
    </xf>
    <xf numFmtId="6" fontId="5" fillId="0" borderId="6" xfId="0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 vertical="top"/>
    </xf>
    <xf numFmtId="165" fontId="4" fillId="0" borderId="0" xfId="0" applyNumberFormat="1" applyFont="1" applyAlignment="1" quotePrefix="1">
      <alignment horizontal="center"/>
    </xf>
    <xf numFmtId="16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8" fontId="4" fillId="0" borderId="0" xfId="21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35">
      <selection activeCell="A1" sqref="A1:H63"/>
    </sheetView>
  </sheetViews>
  <sheetFormatPr defaultColWidth="9.140625" defaultRowHeight="12.75"/>
  <cols>
    <col min="1" max="1" width="24.7109375" style="25" customWidth="1"/>
    <col min="2" max="2" width="14.28125" style="25" bestFit="1" customWidth="1"/>
    <col min="3" max="3" width="9.00390625" style="25" customWidth="1"/>
    <col min="4" max="4" width="9.28125" style="25" customWidth="1"/>
    <col min="5" max="5" width="8.8515625" style="25" customWidth="1"/>
    <col min="6" max="6" width="9.00390625" style="25" customWidth="1"/>
    <col min="7" max="7" width="9.7109375" style="25" customWidth="1"/>
    <col min="8" max="8" width="9.28125" style="25" customWidth="1"/>
    <col min="9" max="9" width="11.00390625" style="25" customWidth="1"/>
    <col min="10" max="16384" width="9.140625" style="25" customWidth="1"/>
  </cols>
  <sheetData>
    <row r="1" spans="1:9" ht="15.75">
      <c r="A1" s="111" t="s">
        <v>229</v>
      </c>
      <c r="B1" s="111"/>
      <c r="C1" s="111"/>
      <c r="D1" s="111"/>
      <c r="E1" s="111"/>
      <c r="F1" s="111"/>
      <c r="G1" s="111"/>
      <c r="H1" s="78"/>
      <c r="I1" s="78"/>
    </row>
    <row r="2" spans="1:9" ht="12.75">
      <c r="A2" s="79"/>
      <c r="B2" s="80"/>
      <c r="C2" s="80"/>
      <c r="D2" s="80"/>
      <c r="E2" s="80"/>
      <c r="F2" s="80"/>
      <c r="G2" s="81"/>
      <c r="H2" s="84"/>
      <c r="I2" s="85"/>
    </row>
    <row r="3" spans="1:9" ht="18.75">
      <c r="A3" s="82" t="s">
        <v>236</v>
      </c>
      <c r="B3" s="80"/>
      <c r="C3" s="80"/>
      <c r="D3" s="80"/>
      <c r="E3" s="80"/>
      <c r="F3" s="81"/>
      <c r="G3" s="81"/>
      <c r="H3" s="84"/>
      <c r="I3" s="86"/>
    </row>
    <row r="4" spans="1:9" ht="12.75">
      <c r="A4" s="80"/>
      <c r="B4" s="80"/>
      <c r="C4" s="80"/>
      <c r="D4" s="80"/>
      <c r="E4" s="80"/>
      <c r="F4" s="81"/>
      <c r="G4" s="81"/>
      <c r="H4" s="84"/>
      <c r="I4" s="86"/>
    </row>
    <row r="5" spans="6:9" ht="12.75">
      <c r="F5" s="83"/>
      <c r="G5" s="83"/>
      <c r="I5" s="72"/>
    </row>
    <row r="6" spans="6:9" ht="12.75">
      <c r="F6" s="83"/>
      <c r="G6" s="57" t="s">
        <v>189</v>
      </c>
      <c r="I6" s="74"/>
    </row>
    <row r="7" spans="1:7" ht="12.75">
      <c r="A7" s="24"/>
      <c r="B7" s="24"/>
      <c r="C7" s="26" t="s">
        <v>32</v>
      </c>
      <c r="D7" s="27" t="s">
        <v>8</v>
      </c>
      <c r="E7" s="27" t="s">
        <v>9</v>
      </c>
      <c r="F7" s="27" t="s">
        <v>10</v>
      </c>
      <c r="G7" s="54"/>
    </row>
    <row r="8" spans="1:9" ht="12.75">
      <c r="A8" s="94" t="s">
        <v>233</v>
      </c>
      <c r="I8" s="27"/>
    </row>
    <row r="9" spans="1:7" s="58" customFormat="1" ht="12.75">
      <c r="A9" s="64" t="s">
        <v>28</v>
      </c>
      <c r="B9" s="60" t="s">
        <v>195</v>
      </c>
      <c r="C9" s="113" t="s">
        <v>184</v>
      </c>
      <c r="D9" s="113"/>
      <c r="E9" s="113"/>
      <c r="F9" s="113"/>
      <c r="G9" s="59"/>
    </row>
    <row r="10" spans="3:7" ht="12.75">
      <c r="C10" s="28">
        <v>1</v>
      </c>
      <c r="D10" s="28">
        <f>'Refuse Teams'!E4</f>
        <v>0.5</v>
      </c>
      <c r="E10" s="28">
        <f>'Refuse Teams'!G4</f>
        <v>0.2</v>
      </c>
      <c r="F10" s="28">
        <f>'Refuse Teams'!I4</f>
        <v>0</v>
      </c>
      <c r="G10" s="53">
        <v>11</v>
      </c>
    </row>
    <row r="11" spans="1:7" ht="12.75">
      <c r="A11" s="25" t="s">
        <v>230</v>
      </c>
      <c r="B11" s="32">
        <f>'Refuse Teams'!C5</f>
        <v>13000</v>
      </c>
      <c r="C11" s="30">
        <f>ROUND('Refuse Teams'!$C5*C$10,0)</f>
        <v>13000</v>
      </c>
      <c r="D11" s="30">
        <f>ROUND('Refuse Teams'!$C5*D$10,0)</f>
        <v>6500</v>
      </c>
      <c r="E11" s="30">
        <f>ROUND('Refuse Teams'!$C5*E$10,0)</f>
        <v>2600</v>
      </c>
      <c r="F11" s="30">
        <f>ROUND('Refuse Teams'!$C5*F$10,0)</f>
        <v>0</v>
      </c>
      <c r="G11" s="53">
        <v>11</v>
      </c>
    </row>
    <row r="12" spans="1:7" ht="12.75">
      <c r="A12" s="25" t="s">
        <v>231</v>
      </c>
      <c r="B12" s="32">
        <f>'Refuse Teams'!C6</f>
        <v>9000</v>
      </c>
      <c r="C12" s="30">
        <f>ROUND('Refuse Teams'!$C6*C$10,0)</f>
        <v>9000</v>
      </c>
      <c r="D12" s="30">
        <f>ROUND('Refuse Teams'!$C6*D$10,0)</f>
        <v>4500</v>
      </c>
      <c r="E12" s="30">
        <f>ROUND('Refuse Teams'!$C6*E$10,0)</f>
        <v>1800</v>
      </c>
      <c r="F12" s="30">
        <f>ROUND('Refuse Teams'!$C6*F$10,0)</f>
        <v>0</v>
      </c>
      <c r="G12" s="53">
        <v>11</v>
      </c>
    </row>
    <row r="13" spans="1:7" ht="12.75">
      <c r="A13" s="25" t="s">
        <v>232</v>
      </c>
      <c r="B13" s="32">
        <f>'Refuse Teams'!C7</f>
        <v>5000</v>
      </c>
      <c r="C13" s="30">
        <f>ROUND('Refuse Teams'!$C7*C$10,0)</f>
        <v>5000</v>
      </c>
      <c r="D13" s="30">
        <f>ROUND('Refuse Teams'!$C7*D$10,0)</f>
        <v>2500</v>
      </c>
      <c r="E13" s="30">
        <f>ROUND('Refuse Teams'!$C7*E$10,0)</f>
        <v>1000</v>
      </c>
      <c r="F13" s="30">
        <f>ROUND('Refuse Teams'!$C7*F$10,0)</f>
        <v>0</v>
      </c>
      <c r="G13" s="53">
        <v>11</v>
      </c>
    </row>
    <row r="14" spans="2:7" ht="12.75">
      <c r="B14" s="30"/>
      <c r="C14" s="87">
        <f>SUM(C11:C13)</f>
        <v>27000</v>
      </c>
      <c r="D14" s="87">
        <f>SUM(D11:D13)</f>
        <v>13500</v>
      </c>
      <c r="E14" s="87">
        <f>SUM(E11:E13)</f>
        <v>5400</v>
      </c>
      <c r="F14" s="87">
        <f>SUM(F11:F13)</f>
        <v>0</v>
      </c>
      <c r="G14" s="53"/>
    </row>
    <row r="15" spans="4:7" ht="6" customHeight="1">
      <c r="D15" s="30"/>
      <c r="E15" s="30"/>
      <c r="F15" s="30"/>
      <c r="G15" s="53"/>
    </row>
    <row r="16" spans="2:7" ht="12.75">
      <c r="B16" s="29" t="s">
        <v>185</v>
      </c>
      <c r="C16" s="112" t="s">
        <v>190</v>
      </c>
      <c r="D16" s="112"/>
      <c r="E16" s="112"/>
      <c r="F16" s="112"/>
      <c r="G16" s="53"/>
    </row>
    <row r="17" spans="1:7" ht="12.75">
      <c r="A17" s="25" t="s">
        <v>230</v>
      </c>
      <c r="B17" s="61">
        <f>'Refuse Teams'!B15</f>
        <v>2200</v>
      </c>
      <c r="C17" s="25">
        <f>ROUND(C11/'Refuse Teams'!$B15,2)</f>
        <v>5.91</v>
      </c>
      <c r="D17" s="25">
        <f>ROUND(D11/'Refuse Teams'!$B15,2)</f>
        <v>2.95</v>
      </c>
      <c r="E17" s="25">
        <f>ROUND(E11/'Refuse Teams'!$B15,2)</f>
        <v>1.18</v>
      </c>
      <c r="F17" s="25">
        <f>ROUND(F11/'Refuse Teams'!$B15,2)</f>
        <v>0</v>
      </c>
      <c r="G17" s="53">
        <v>11</v>
      </c>
    </row>
    <row r="18" spans="1:7" ht="12.75">
      <c r="A18" s="25" t="s">
        <v>231</v>
      </c>
      <c r="B18" s="61">
        <f>'Refuse Teams'!B16</f>
        <v>1900</v>
      </c>
      <c r="C18" s="25">
        <f>ROUND(C12/'Refuse Teams'!$B16,2)</f>
        <v>4.74</v>
      </c>
      <c r="D18" s="25">
        <f>ROUND(D12/'Refuse Teams'!$B16,2)</f>
        <v>2.37</v>
      </c>
      <c r="E18" s="25">
        <f>ROUND(E12/'Refuse Teams'!$B16,2)</f>
        <v>0.95</v>
      </c>
      <c r="F18" s="25">
        <f>ROUND(F12/'Refuse Teams'!$B16,2)</f>
        <v>0</v>
      </c>
      <c r="G18" s="53">
        <v>11</v>
      </c>
    </row>
    <row r="19" spans="1:7" ht="12.75">
      <c r="A19" s="25" t="s">
        <v>232</v>
      </c>
      <c r="B19" s="61">
        <f>'Refuse Teams'!B17</f>
        <v>1700</v>
      </c>
      <c r="C19" s="25">
        <f>ROUND(C13/'Refuse Teams'!$B17,2)</f>
        <v>2.94</v>
      </c>
      <c r="D19" s="25">
        <f>ROUND(D13/'Refuse Teams'!$B17,2)</f>
        <v>1.47</v>
      </c>
      <c r="E19" s="25">
        <f>ROUND(E13/'Refuse Teams'!$B17,2)</f>
        <v>0.59</v>
      </c>
      <c r="F19" s="25">
        <f>ROUND(F13/'Refuse Teams'!$B17,2)</f>
        <v>0</v>
      </c>
      <c r="G19" s="53">
        <v>11</v>
      </c>
    </row>
    <row r="20" spans="3:7" ht="12.75">
      <c r="C20" s="88">
        <f>SUM(C17:C19)</f>
        <v>13.59</v>
      </c>
      <c r="D20" s="88">
        <f>SUM(D17:D19)</f>
        <v>6.79</v>
      </c>
      <c r="E20" s="88">
        <f>SUM(E17:E19)</f>
        <v>2.7199999999999998</v>
      </c>
      <c r="F20" s="87">
        <f>SUM(F17:F19)</f>
        <v>0</v>
      </c>
      <c r="G20" s="53"/>
    </row>
    <row r="21" spans="3:7" ht="6" customHeight="1">
      <c r="C21" s="33"/>
      <c r="D21" s="33"/>
      <c r="E21" s="33"/>
      <c r="F21" s="33"/>
      <c r="G21" s="53"/>
    </row>
    <row r="22" spans="2:7" ht="12.75">
      <c r="B22" s="29"/>
      <c r="C22" s="112" t="s">
        <v>191</v>
      </c>
      <c r="D22" s="112"/>
      <c r="E22" s="112"/>
      <c r="F22" s="112"/>
      <c r="G22" s="53">
        <v>23</v>
      </c>
    </row>
    <row r="23" spans="1:7" ht="12.75">
      <c r="A23" s="25" t="s">
        <v>230</v>
      </c>
      <c r="B23" s="30"/>
      <c r="C23" s="30">
        <f aca="true" t="shared" si="0" ref="C23:F25">ROUNDUP(C17,0)</f>
        <v>6</v>
      </c>
      <c r="D23" s="30">
        <f t="shared" si="0"/>
        <v>3</v>
      </c>
      <c r="E23" s="30">
        <f t="shared" si="0"/>
        <v>2</v>
      </c>
      <c r="F23" s="30">
        <f t="shared" si="0"/>
        <v>0</v>
      </c>
      <c r="G23" s="53"/>
    </row>
    <row r="24" spans="1:7" ht="12.75">
      <c r="A24" s="25" t="s">
        <v>231</v>
      </c>
      <c r="B24" s="30"/>
      <c r="C24" s="30">
        <f t="shared" si="0"/>
        <v>5</v>
      </c>
      <c r="D24" s="30">
        <f t="shared" si="0"/>
        <v>3</v>
      </c>
      <c r="E24" s="30">
        <f t="shared" si="0"/>
        <v>1</v>
      </c>
      <c r="F24" s="30">
        <f t="shared" si="0"/>
        <v>0</v>
      </c>
      <c r="G24" s="53"/>
    </row>
    <row r="25" spans="1:7" ht="12.75">
      <c r="A25" s="25" t="s">
        <v>232</v>
      </c>
      <c r="B25" s="30"/>
      <c r="C25" s="30">
        <f t="shared" si="0"/>
        <v>3</v>
      </c>
      <c r="D25" s="30">
        <f t="shared" si="0"/>
        <v>2</v>
      </c>
      <c r="E25" s="30">
        <f t="shared" si="0"/>
        <v>1</v>
      </c>
      <c r="F25" s="30">
        <f t="shared" si="0"/>
        <v>0</v>
      </c>
      <c r="G25" s="53"/>
    </row>
    <row r="26" spans="1:7" ht="12.75">
      <c r="A26" s="25" t="s">
        <v>33</v>
      </c>
      <c r="C26" s="87">
        <f>SUM(C23:C25)</f>
        <v>14</v>
      </c>
      <c r="D26" s="87">
        <f>SUM(D23:D25)</f>
        <v>8</v>
      </c>
      <c r="E26" s="87">
        <f>SUM(E23:E25)</f>
        <v>4</v>
      </c>
      <c r="F26" s="87">
        <f>SUM(F23:F25)</f>
        <v>0</v>
      </c>
      <c r="G26" s="53"/>
    </row>
    <row r="27" spans="3:7" ht="6" customHeight="1">
      <c r="C27" s="33"/>
      <c r="D27" s="33"/>
      <c r="E27" s="33"/>
      <c r="F27" s="33"/>
      <c r="G27" s="53"/>
    </row>
    <row r="28" spans="1:7" ht="12.75">
      <c r="A28" s="25" t="s">
        <v>194</v>
      </c>
      <c r="B28" s="30"/>
      <c r="C28" s="33">
        <v>4</v>
      </c>
      <c r="D28" s="33">
        <f>C28</f>
        <v>4</v>
      </c>
      <c r="E28" s="33">
        <f>D28</f>
        <v>4</v>
      </c>
      <c r="F28" s="33">
        <f>E28</f>
        <v>4</v>
      </c>
      <c r="G28" s="53">
        <v>11</v>
      </c>
    </row>
    <row r="29" spans="3:7" ht="6" customHeight="1">
      <c r="C29" s="33"/>
      <c r="D29" s="33"/>
      <c r="E29" s="33"/>
      <c r="F29" s="33"/>
      <c r="G29" s="53"/>
    </row>
    <row r="30" spans="1:8" ht="13.5" thickBot="1">
      <c r="A30" s="25" t="s">
        <v>192</v>
      </c>
      <c r="C30" s="89">
        <f>C26*C28</f>
        <v>56</v>
      </c>
      <c r="D30" s="89">
        <f>D26*D28</f>
        <v>32</v>
      </c>
      <c r="E30" s="89">
        <f>E26*E28</f>
        <v>16</v>
      </c>
      <c r="F30" s="89">
        <f>F26*F28</f>
        <v>0</v>
      </c>
      <c r="G30" s="53"/>
      <c r="H30" s="118" t="s">
        <v>339</v>
      </c>
    </row>
    <row r="31" spans="3:7" ht="12.75" customHeight="1">
      <c r="C31" s="33"/>
      <c r="D31" s="33"/>
      <c r="E31" s="33"/>
      <c r="F31" s="33"/>
      <c r="G31" s="53"/>
    </row>
    <row r="32" spans="1:7" ht="12.75">
      <c r="A32" s="94" t="s">
        <v>234</v>
      </c>
      <c r="C32" s="26"/>
      <c r="D32" s="27"/>
      <c r="E32" s="27"/>
      <c r="F32" s="27"/>
      <c r="G32" s="53"/>
    </row>
    <row r="33" spans="1:7" ht="12.75">
      <c r="A33" s="90" t="s">
        <v>28</v>
      </c>
      <c r="B33" s="60" t="s">
        <v>196</v>
      </c>
      <c r="C33" s="113" t="s">
        <v>183</v>
      </c>
      <c r="D33" s="113"/>
      <c r="E33" s="113"/>
      <c r="F33" s="113"/>
      <c r="G33" s="53"/>
    </row>
    <row r="34" spans="3:7" ht="12.75">
      <c r="C34" s="28">
        <v>0</v>
      </c>
      <c r="D34" s="28">
        <f>'Refuse Teams'!F4</f>
        <v>0.5</v>
      </c>
      <c r="E34" s="28">
        <f>'Refuse Teams'!H4</f>
        <v>0.8</v>
      </c>
      <c r="F34" s="28">
        <f>'Refuse Teams'!J4</f>
        <v>1</v>
      </c>
      <c r="G34" s="53">
        <v>11</v>
      </c>
    </row>
    <row r="35" spans="1:7" ht="12.75">
      <c r="A35" s="25" t="s">
        <v>230</v>
      </c>
      <c r="B35" s="61">
        <f>'Refuse Teams'!C5</f>
        <v>13000</v>
      </c>
      <c r="C35" s="30">
        <f>ROUND('Refuse Teams'!$C5*C$34,0)</f>
        <v>0</v>
      </c>
      <c r="D35" s="30">
        <f>ROUND('Refuse Teams'!$C5*D$34,0)</f>
        <v>6500</v>
      </c>
      <c r="E35" s="30">
        <f>ROUND('Refuse Teams'!$C5*E$34,0)</f>
        <v>10400</v>
      </c>
      <c r="F35" s="30">
        <f>ROUND('Refuse Teams'!$C5*F$34,0)</f>
        <v>13000</v>
      </c>
      <c r="G35" s="53">
        <v>11</v>
      </c>
    </row>
    <row r="36" spans="1:7" ht="12.75">
      <c r="A36" s="25" t="s">
        <v>231</v>
      </c>
      <c r="B36" s="61">
        <f>'Refuse Teams'!C6</f>
        <v>9000</v>
      </c>
      <c r="C36" s="30">
        <f>ROUND('Refuse Teams'!$C6*C$34,0)</f>
        <v>0</v>
      </c>
      <c r="D36" s="30">
        <f>ROUND('Refuse Teams'!$C6*D$34,0)</f>
        <v>4500</v>
      </c>
      <c r="E36" s="30">
        <f>ROUND('Refuse Teams'!$C6*E$34,0)</f>
        <v>7200</v>
      </c>
      <c r="F36" s="30">
        <f>ROUND('Refuse Teams'!$C6*F$34,0)</f>
        <v>9000</v>
      </c>
      <c r="G36" s="53">
        <v>11</v>
      </c>
    </row>
    <row r="37" spans="1:7" ht="12.75">
      <c r="A37" s="25" t="s">
        <v>232</v>
      </c>
      <c r="B37" s="61">
        <f>'Refuse Teams'!C7</f>
        <v>5000</v>
      </c>
      <c r="C37" s="30">
        <f>ROUND('Refuse Teams'!$C7*C$34,0)</f>
        <v>0</v>
      </c>
      <c r="D37" s="30">
        <f>ROUND('Refuse Teams'!$C7*D$34,0)</f>
        <v>2500</v>
      </c>
      <c r="E37" s="30">
        <f>ROUND('Refuse Teams'!$C7*E$34,0)</f>
        <v>4000</v>
      </c>
      <c r="F37" s="30">
        <f>ROUND('Refuse Teams'!$C7*F$34,0)</f>
        <v>5000</v>
      </c>
      <c r="G37" s="53">
        <v>11</v>
      </c>
    </row>
    <row r="38" spans="2:7" ht="12.75">
      <c r="B38" s="30"/>
      <c r="C38" s="87">
        <f>SUM(C35:C37)</f>
        <v>0</v>
      </c>
      <c r="D38" s="87">
        <f>SUM(D35:D37)</f>
        <v>13500</v>
      </c>
      <c r="E38" s="87">
        <f>SUM(E35:E37)</f>
        <v>21600</v>
      </c>
      <c r="F38" s="87">
        <f>SUM(F35:F37)</f>
        <v>27000</v>
      </c>
      <c r="G38" s="53"/>
    </row>
    <row r="39" ht="6" customHeight="1">
      <c r="G39" s="53"/>
    </row>
    <row r="40" spans="2:7" ht="12.75">
      <c r="B40" s="29" t="s">
        <v>185</v>
      </c>
      <c r="C40" s="112" t="s">
        <v>190</v>
      </c>
      <c r="D40" s="112"/>
      <c r="E40" s="112"/>
      <c r="F40" s="112"/>
      <c r="G40" s="53"/>
    </row>
    <row r="41" spans="1:7" ht="12.75">
      <c r="A41" s="25" t="s">
        <v>230</v>
      </c>
      <c r="B41" s="61">
        <f>'Refuse Teams'!C15</f>
        <v>2100</v>
      </c>
      <c r="C41" s="25">
        <f>ROUND(C35/'Refuse Teams'!$C15,2)</f>
        <v>0</v>
      </c>
      <c r="D41" s="25">
        <f>ROUND(D35/'Refuse Teams'!$C15,2)</f>
        <v>3.1</v>
      </c>
      <c r="E41" s="25">
        <f>ROUND(E35/'Refuse Teams'!$C15,2)</f>
        <v>4.95</v>
      </c>
      <c r="F41" s="25">
        <f>ROUND(F35/'Refuse Teams'!$C15,2)</f>
        <v>6.19</v>
      </c>
      <c r="G41" s="53">
        <v>11</v>
      </c>
    </row>
    <row r="42" spans="1:7" ht="12.75">
      <c r="A42" s="25" t="s">
        <v>231</v>
      </c>
      <c r="B42" s="61">
        <f>'Refuse Teams'!C16</f>
        <v>1800</v>
      </c>
      <c r="C42" s="25">
        <f>ROUND(C36/'Refuse Teams'!$C16,2)</f>
        <v>0</v>
      </c>
      <c r="D42" s="25">
        <f>ROUND(D36/'Refuse Teams'!$C16,2)</f>
        <v>2.5</v>
      </c>
      <c r="E42" s="25">
        <f>ROUND(E36/'Refuse Teams'!$C16,2)</f>
        <v>4</v>
      </c>
      <c r="F42" s="25">
        <f>ROUND(F36/'Refuse Teams'!$C16,2)</f>
        <v>5</v>
      </c>
      <c r="G42" s="53">
        <v>11</v>
      </c>
    </row>
    <row r="43" spans="1:7" ht="12.75">
      <c r="A43" s="25" t="s">
        <v>232</v>
      </c>
      <c r="B43" s="61">
        <f>'Refuse Teams'!C17</f>
        <v>1600</v>
      </c>
      <c r="C43" s="25">
        <f>ROUND(C37/'Refuse Teams'!$C17,2)</f>
        <v>0</v>
      </c>
      <c r="D43" s="25">
        <f>ROUND(D37/'Refuse Teams'!$C17,2)</f>
        <v>1.56</v>
      </c>
      <c r="E43" s="25">
        <f>ROUND(E37/'Refuse Teams'!$C17,2)</f>
        <v>2.5</v>
      </c>
      <c r="F43" s="25">
        <f>ROUND(F37/'Refuse Teams'!$C17,2)</f>
        <v>3.13</v>
      </c>
      <c r="G43" s="53">
        <v>11</v>
      </c>
    </row>
    <row r="44" spans="3:7" ht="12.75">
      <c r="C44" s="88">
        <f>SUM(C41:C43)</f>
        <v>0</v>
      </c>
      <c r="D44" s="88">
        <f>SUM(D41:D43)</f>
        <v>7.16</v>
      </c>
      <c r="E44" s="88">
        <f>SUM(E41:E43)</f>
        <v>11.45</v>
      </c>
      <c r="F44" s="88">
        <f>SUM(F41:F43)</f>
        <v>14.32</v>
      </c>
      <c r="G44" s="53"/>
    </row>
    <row r="45" spans="3:7" ht="6" customHeight="1">
      <c r="C45" s="33"/>
      <c r="D45" s="33"/>
      <c r="E45" s="33"/>
      <c r="F45" s="33"/>
      <c r="G45" s="53"/>
    </row>
    <row r="46" spans="2:7" ht="12.75">
      <c r="B46" s="29"/>
      <c r="C46" s="112" t="s">
        <v>191</v>
      </c>
      <c r="D46" s="112"/>
      <c r="E46" s="112"/>
      <c r="F46" s="112"/>
      <c r="G46" s="53">
        <v>23</v>
      </c>
    </row>
    <row r="47" spans="1:7" ht="12.75">
      <c r="A47" s="25" t="s">
        <v>230</v>
      </c>
      <c r="B47" s="30"/>
      <c r="C47" s="30">
        <f aca="true" t="shared" si="1" ref="C47:F49">ROUNDUP(C41,0)</f>
        <v>0</v>
      </c>
      <c r="D47" s="30">
        <f t="shared" si="1"/>
        <v>4</v>
      </c>
      <c r="E47" s="30">
        <f t="shared" si="1"/>
        <v>5</v>
      </c>
      <c r="F47" s="30">
        <f t="shared" si="1"/>
        <v>7</v>
      </c>
      <c r="G47" s="53"/>
    </row>
    <row r="48" spans="1:7" ht="12.75">
      <c r="A48" s="25" t="s">
        <v>231</v>
      </c>
      <c r="B48" s="30"/>
      <c r="C48" s="30">
        <f t="shared" si="1"/>
        <v>0</v>
      </c>
      <c r="D48" s="30">
        <f t="shared" si="1"/>
        <v>3</v>
      </c>
      <c r="E48" s="30">
        <f t="shared" si="1"/>
        <v>4</v>
      </c>
      <c r="F48" s="30">
        <f t="shared" si="1"/>
        <v>5</v>
      </c>
      <c r="G48" s="53"/>
    </row>
    <row r="49" spans="1:7" ht="12.75">
      <c r="A49" s="25" t="s">
        <v>232</v>
      </c>
      <c r="B49" s="30"/>
      <c r="C49" s="30">
        <f t="shared" si="1"/>
        <v>0</v>
      </c>
      <c r="D49" s="30">
        <f t="shared" si="1"/>
        <v>2</v>
      </c>
      <c r="E49" s="30">
        <f t="shared" si="1"/>
        <v>3</v>
      </c>
      <c r="F49" s="30">
        <f t="shared" si="1"/>
        <v>4</v>
      </c>
      <c r="G49" s="53"/>
    </row>
    <row r="50" spans="3:7" ht="12.75">
      <c r="C50" s="87">
        <f>SUM(C47:C49)</f>
        <v>0</v>
      </c>
      <c r="D50" s="87">
        <f>SUM(D47:D49)</f>
        <v>9</v>
      </c>
      <c r="E50" s="87">
        <f>SUM(E47:E49)</f>
        <v>12</v>
      </c>
      <c r="F50" s="87">
        <f>SUM(F47:F49)</f>
        <v>16</v>
      </c>
      <c r="G50" s="53"/>
    </row>
    <row r="51" spans="3:7" ht="6" customHeight="1">
      <c r="C51" s="33"/>
      <c r="D51" s="33"/>
      <c r="E51" s="33"/>
      <c r="F51" s="33"/>
      <c r="G51" s="53"/>
    </row>
    <row r="52" spans="1:7" ht="12.75">
      <c r="A52" s="25" t="s">
        <v>194</v>
      </c>
      <c r="B52" s="30"/>
      <c r="C52" s="33">
        <v>3</v>
      </c>
      <c r="D52" s="33">
        <f>C52</f>
        <v>3</v>
      </c>
      <c r="E52" s="33">
        <f>D52</f>
        <v>3</v>
      </c>
      <c r="F52" s="33">
        <f>E52</f>
        <v>3</v>
      </c>
      <c r="G52" s="53">
        <v>11</v>
      </c>
    </row>
    <row r="53" spans="3:7" ht="6" customHeight="1">
      <c r="C53" s="33"/>
      <c r="D53" s="33"/>
      <c r="E53" s="33"/>
      <c r="F53" s="33"/>
      <c r="G53" s="53"/>
    </row>
    <row r="54" spans="1:8" ht="13.5" thickBot="1">
      <c r="A54" s="25" t="s">
        <v>193</v>
      </c>
      <c r="C54" s="89">
        <f>C50*C52</f>
        <v>0</v>
      </c>
      <c r="D54" s="89">
        <f>D50*D52</f>
        <v>27</v>
      </c>
      <c r="E54" s="89">
        <f>E50*E52</f>
        <v>36</v>
      </c>
      <c r="F54" s="89">
        <f>F50*F52</f>
        <v>48</v>
      </c>
      <c r="G54" s="53"/>
      <c r="H54" s="118" t="s">
        <v>339</v>
      </c>
    </row>
    <row r="55" spans="3:7" ht="12.75">
      <c r="C55" s="33"/>
      <c r="D55" s="33"/>
      <c r="E55" s="33"/>
      <c r="F55" s="33"/>
      <c r="G55" s="53"/>
    </row>
    <row r="56" spans="1:7" ht="12.75">
      <c r="A56" s="94" t="s">
        <v>235</v>
      </c>
      <c r="G56" s="53"/>
    </row>
    <row r="57" spans="1:7" ht="12.75">
      <c r="A57" s="25" t="s">
        <v>187</v>
      </c>
      <c r="B57" s="53"/>
      <c r="C57" s="30">
        <f>C30</f>
        <v>56</v>
      </c>
      <c r="D57" s="30">
        <f>D30</f>
        <v>32</v>
      </c>
      <c r="E57" s="30">
        <f>E30</f>
        <v>16</v>
      </c>
      <c r="F57" s="30">
        <f>F30</f>
        <v>0</v>
      </c>
      <c r="G57" s="53"/>
    </row>
    <row r="58" spans="1:7" ht="12.75">
      <c r="A58" s="25" t="s">
        <v>186</v>
      </c>
      <c r="B58" s="53"/>
      <c r="C58" s="30">
        <f>C54</f>
        <v>0</v>
      </c>
      <c r="D58" s="30">
        <f>D54</f>
        <v>27</v>
      </c>
      <c r="E58" s="30">
        <f>E54</f>
        <v>36</v>
      </c>
      <c r="F58" s="30">
        <f>F54</f>
        <v>48</v>
      </c>
      <c r="G58" s="53"/>
    </row>
    <row r="59" spans="3:7" ht="12.75">
      <c r="C59" s="87">
        <f>SUM(C57:C58)</f>
        <v>56</v>
      </c>
      <c r="D59" s="87">
        <f>SUM(D57:D58)</f>
        <v>59</v>
      </c>
      <c r="E59" s="87">
        <f>SUM(E57:E58)</f>
        <v>52</v>
      </c>
      <c r="F59" s="87">
        <f>SUM(F57:F58)</f>
        <v>48</v>
      </c>
      <c r="G59" s="53"/>
    </row>
    <row r="60" spans="1:7" ht="12.75">
      <c r="A60" s="25" t="s">
        <v>172</v>
      </c>
      <c r="D60" s="33"/>
      <c r="E60" s="33"/>
      <c r="F60" s="33"/>
      <c r="G60" s="53"/>
    </row>
    <row r="61" spans="1:7" ht="12.75">
      <c r="A61" s="25" t="s">
        <v>187</v>
      </c>
      <c r="C61" s="25">
        <v>0</v>
      </c>
      <c r="D61" s="30">
        <f>D57-'Refuse Teams'!D57</f>
        <v>-24</v>
      </c>
      <c r="E61" s="30">
        <f>E57-D57</f>
        <v>-16</v>
      </c>
      <c r="F61" s="30">
        <f>F57-E57</f>
        <v>-16</v>
      </c>
      <c r="G61" s="53"/>
    </row>
    <row r="62" spans="1:7" ht="12.75">
      <c r="A62" s="25" t="s">
        <v>186</v>
      </c>
      <c r="C62" s="25">
        <v>0</v>
      </c>
      <c r="D62" s="30">
        <f>D58</f>
        <v>27</v>
      </c>
      <c r="E62" s="30">
        <f>E58-D58</f>
        <v>9</v>
      </c>
      <c r="F62" s="30">
        <f>F58-E58</f>
        <v>12</v>
      </c>
      <c r="G62" s="53"/>
    </row>
    <row r="63" spans="1:8" ht="12.75">
      <c r="A63" s="24"/>
      <c r="B63" s="24" t="s">
        <v>323</v>
      </c>
      <c r="C63" s="95">
        <f>SUM(C61:C62)</f>
        <v>0</v>
      </c>
      <c r="D63" s="95">
        <f>SUM(D61:D62)</f>
        <v>3</v>
      </c>
      <c r="E63" s="95">
        <f>SUM(E61:E62)</f>
        <v>-7</v>
      </c>
      <c r="F63" s="95">
        <f>SUM(F61:F62)</f>
        <v>-4</v>
      </c>
      <c r="G63" s="53"/>
      <c r="H63" s="118" t="s">
        <v>340</v>
      </c>
    </row>
    <row r="64" spans="3:7" ht="12.75">
      <c r="C64" s="33"/>
      <c r="D64" s="33"/>
      <c r="E64" s="33"/>
      <c r="F64" s="33"/>
      <c r="G64" s="53"/>
    </row>
    <row r="65" spans="3:7" ht="12.75">
      <c r="C65" s="24"/>
      <c r="D65" s="33"/>
      <c r="E65" s="33"/>
      <c r="F65" s="33"/>
      <c r="G65" s="53"/>
    </row>
    <row r="66" spans="3:7" ht="12.75">
      <c r="C66" s="33"/>
      <c r="D66" s="33"/>
      <c r="E66" s="33"/>
      <c r="F66" s="33"/>
      <c r="G66" s="53"/>
    </row>
    <row r="67" spans="3:7" ht="12.75">
      <c r="C67" s="33"/>
      <c r="D67" s="33"/>
      <c r="E67" s="33"/>
      <c r="F67" s="33"/>
      <c r="G67" s="53"/>
    </row>
    <row r="86" ht="12.75">
      <c r="G86" s="53"/>
    </row>
    <row r="97" ht="12.75">
      <c r="A97" s="24"/>
    </row>
  </sheetData>
  <mergeCells count="7">
    <mergeCell ref="A1:G1"/>
    <mergeCell ref="C46:F46"/>
    <mergeCell ref="C9:F9"/>
    <mergeCell ref="C33:F33"/>
    <mergeCell ref="C16:F16"/>
    <mergeCell ref="C40:F40"/>
    <mergeCell ref="C22:F22"/>
  </mergeCells>
  <printOptions horizontalCentered="1"/>
  <pageMargins left="0.7480314960629921" right="0.14" top="0.52" bottom="0.57" header="0.5118110236220472" footer="0.3937007874015748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29.421875" style="4" bestFit="1" customWidth="1"/>
    <col min="2" max="2" width="5.57421875" style="5" bestFit="1" customWidth="1"/>
    <col min="3" max="3" width="9.140625" style="4" customWidth="1"/>
    <col min="4" max="4" width="10.140625" style="5" bestFit="1" customWidth="1"/>
    <col min="5" max="5" width="11.421875" style="4" bestFit="1" customWidth="1"/>
    <col min="6" max="8" width="11.140625" style="4" bestFit="1" customWidth="1"/>
    <col min="9" max="16384" width="9.140625" style="4" customWidth="1"/>
  </cols>
  <sheetData>
    <row r="1" spans="5:8" ht="11.25">
      <c r="E1" s="15" t="s">
        <v>32</v>
      </c>
      <c r="F1" s="15" t="s">
        <v>8</v>
      </c>
      <c r="G1" s="15" t="s">
        <v>9</v>
      </c>
      <c r="H1" s="15" t="s">
        <v>10</v>
      </c>
    </row>
    <row r="2" spans="1:8" ht="11.25">
      <c r="A2" s="20" t="s">
        <v>35</v>
      </c>
      <c r="E2" s="17">
        <v>0</v>
      </c>
      <c r="F2" s="17">
        <f>'Original target'!C2</f>
        <v>0.035</v>
      </c>
      <c r="G2" s="17">
        <f>'Original target'!D2</f>
        <v>0.03</v>
      </c>
      <c r="H2" s="17">
        <f>'Original target'!E2</f>
        <v>0.03</v>
      </c>
    </row>
    <row r="3" spans="1:8" ht="11.25">
      <c r="A3" s="1" t="s">
        <v>36</v>
      </c>
      <c r="B3" s="2">
        <v>1</v>
      </c>
      <c r="C3" s="4" t="s">
        <v>41</v>
      </c>
      <c r="D3" s="5">
        <v>36000</v>
      </c>
      <c r="E3" s="5">
        <f aca="true" t="shared" si="0" ref="E3:H5">ROUND($B3*D3*(1+E$2),0)</f>
        <v>36000</v>
      </c>
      <c r="F3" s="5">
        <f t="shared" si="0"/>
        <v>37260</v>
      </c>
      <c r="G3" s="5">
        <f t="shared" si="0"/>
        <v>38378</v>
      </c>
      <c r="H3" s="5">
        <f t="shared" si="0"/>
        <v>39529</v>
      </c>
    </row>
    <row r="4" spans="1:8" ht="11.25">
      <c r="A4" s="1" t="s">
        <v>37</v>
      </c>
      <c r="B4" s="2">
        <v>1</v>
      </c>
      <c r="C4" s="4" t="s">
        <v>42</v>
      </c>
      <c r="D4" s="5">
        <v>31000</v>
      </c>
      <c r="E4" s="5">
        <f t="shared" si="0"/>
        <v>31000</v>
      </c>
      <c r="F4" s="5">
        <f t="shared" si="0"/>
        <v>32085</v>
      </c>
      <c r="G4" s="5">
        <f t="shared" si="0"/>
        <v>33048</v>
      </c>
      <c r="H4" s="5">
        <f t="shared" si="0"/>
        <v>34039</v>
      </c>
    </row>
    <row r="5" spans="1:8" ht="11.25">
      <c r="A5" s="1" t="s">
        <v>39</v>
      </c>
      <c r="B5" s="2">
        <v>1</v>
      </c>
      <c r="C5" s="4" t="s">
        <v>44</v>
      </c>
      <c r="D5" s="5">
        <v>17500</v>
      </c>
      <c r="E5" s="5">
        <f t="shared" si="0"/>
        <v>17500</v>
      </c>
      <c r="F5" s="5">
        <f t="shared" si="0"/>
        <v>18113</v>
      </c>
      <c r="G5" s="5">
        <f t="shared" si="0"/>
        <v>18656</v>
      </c>
      <c r="H5" s="5">
        <f t="shared" si="0"/>
        <v>19216</v>
      </c>
    </row>
    <row r="6" spans="1:8" ht="11.25">
      <c r="A6" s="1" t="s">
        <v>40</v>
      </c>
      <c r="B6" s="2">
        <v>1</v>
      </c>
      <c r="C6" s="4" t="s">
        <v>45</v>
      </c>
      <c r="D6" s="5">
        <v>14500</v>
      </c>
      <c r="E6" s="5">
        <f>ROUND($B6*D6*(1+E$2),0)</f>
        <v>14500</v>
      </c>
      <c r="F6" s="5">
        <f>ROUND($B6*E6*(1+F$2),0)</f>
        <v>15008</v>
      </c>
      <c r="G6" s="5">
        <f>ROUND($B6*F6*(1+G$2),0)</f>
        <v>15458</v>
      </c>
      <c r="H6" s="5">
        <f>ROUND($B6*G6*(1+H$2),0)</f>
        <v>15922</v>
      </c>
    </row>
    <row r="7" spans="5:8" ht="11.25">
      <c r="E7" s="5">
        <f>SUM(E2:E6)</f>
        <v>99000</v>
      </c>
      <c r="F7" s="4">
        <f>SUM(F2:F6)</f>
        <v>102466.035</v>
      </c>
      <c r="G7" s="5">
        <f>SUM(G2:G6)</f>
        <v>105540.03</v>
      </c>
      <c r="H7" s="5">
        <f>SUM(H2:H6)</f>
        <v>108706.03</v>
      </c>
    </row>
    <row r="8" spans="5:8" ht="11.25">
      <c r="E8" s="5"/>
      <c r="F8" s="5"/>
      <c r="G8" s="5"/>
      <c r="H8" s="5"/>
    </row>
    <row r="9" spans="3:4" ht="11.25">
      <c r="C9" s="4" t="s">
        <v>24</v>
      </c>
      <c r="D9" s="4"/>
    </row>
    <row r="10" spans="3:8" ht="11.25">
      <c r="C10" s="4" t="s">
        <v>25</v>
      </c>
      <c r="D10" s="10">
        <v>0.09</v>
      </c>
      <c r="E10" s="5">
        <f>ROUND(E$7*$D10,0)</f>
        <v>8910</v>
      </c>
      <c r="F10" s="5">
        <f aca="true" t="shared" si="1" ref="F10:H11">ROUND(F$7*$D10,0)</f>
        <v>9222</v>
      </c>
      <c r="G10" s="5">
        <f t="shared" si="1"/>
        <v>9499</v>
      </c>
      <c r="H10" s="5">
        <f t="shared" si="1"/>
        <v>9784</v>
      </c>
    </row>
    <row r="11" spans="3:8" ht="11.25">
      <c r="C11" s="4" t="s">
        <v>26</v>
      </c>
      <c r="D11" s="10">
        <v>0.15</v>
      </c>
      <c r="E11" s="5">
        <f>ROUND(E$7*$D11,0)</f>
        <v>14850</v>
      </c>
      <c r="F11" s="5">
        <f t="shared" si="1"/>
        <v>15370</v>
      </c>
      <c r="G11" s="5">
        <f t="shared" si="1"/>
        <v>15831</v>
      </c>
      <c r="H11" s="5">
        <f t="shared" si="1"/>
        <v>16306</v>
      </c>
    </row>
    <row r="12" ht="11.25">
      <c r="D12" s="4"/>
    </row>
    <row r="13" spans="3:8" ht="11.25">
      <c r="C13" s="4" t="s">
        <v>27</v>
      </c>
      <c r="D13" s="4"/>
      <c r="E13" s="4">
        <f>SUM(E7:E12)</f>
        <v>122760</v>
      </c>
      <c r="F13" s="4">
        <f>SUM(F7:F12)</f>
        <v>127058.035</v>
      </c>
      <c r="G13" s="4">
        <f>SUM(G7:G12)</f>
        <v>130870.03</v>
      </c>
      <c r="H13" s="4">
        <f>SUM(H7:H12)</f>
        <v>134796.03</v>
      </c>
    </row>
    <row r="14" spans="5:8" ht="11.25">
      <c r="E14" s="5"/>
      <c r="F14" s="5"/>
      <c r="G14" s="5"/>
      <c r="H14" s="5"/>
    </row>
    <row r="15" spans="1:8" ht="11.25">
      <c r="A15" s="20" t="s">
        <v>34</v>
      </c>
      <c r="E15" s="5"/>
      <c r="F15" s="5"/>
      <c r="G15" s="5"/>
      <c r="H15" s="5"/>
    </row>
    <row r="16" spans="5:8" ht="11.25">
      <c r="E16" s="5"/>
      <c r="F16" s="5"/>
      <c r="G16" s="5"/>
      <c r="H16" s="5"/>
    </row>
    <row r="17" spans="1:8" ht="11.25">
      <c r="A17" s="1" t="s">
        <v>137</v>
      </c>
      <c r="C17" s="4" t="s">
        <v>43</v>
      </c>
      <c r="D17" s="5">
        <v>22000</v>
      </c>
      <c r="E17" s="5">
        <f>ROUND(D17*(1+E$2),0)</f>
        <v>22000</v>
      </c>
      <c r="F17" s="5">
        <f>ROUND(E17*(1+F$2),0)</f>
        <v>22770</v>
      </c>
      <c r="G17" s="5">
        <f>ROUND(F17*(1+G$2),0)</f>
        <v>23453</v>
      </c>
      <c r="H17" s="5">
        <f>ROUND(G17*(1+H$2),0)</f>
        <v>24157</v>
      </c>
    </row>
    <row r="18" ht="11.25">
      <c r="A18" s="1"/>
    </row>
    <row r="19" spans="1:8" ht="11.25">
      <c r="A19" s="1" t="s">
        <v>38</v>
      </c>
      <c r="B19" s="2">
        <v>4</v>
      </c>
      <c r="D19" s="4"/>
      <c r="E19" s="5">
        <f>ROUND($B19*E$17,0)</f>
        <v>88000</v>
      </c>
      <c r="F19" s="5">
        <f>ROUND($B19*F$17,0)</f>
        <v>91080</v>
      </c>
      <c r="G19" s="5">
        <f>ROUND($B19*G$17,0)</f>
        <v>93812</v>
      </c>
      <c r="H19" s="5">
        <f>ROUND($B19*H$17,0)</f>
        <v>96628</v>
      </c>
    </row>
    <row r="20" spans="5:8" ht="11.25">
      <c r="E20" s="5">
        <f>SUM(E19:E19)</f>
        <v>88000</v>
      </c>
      <c r="F20" s="5">
        <f>SUM(F19:F19)</f>
        <v>91080</v>
      </c>
      <c r="G20" s="5">
        <f>SUM(G19:G19)</f>
        <v>93812</v>
      </c>
      <c r="H20" s="5">
        <f>SUM(H19:H19)</f>
        <v>96628</v>
      </c>
    </row>
    <row r="22" spans="3:4" ht="11.25">
      <c r="C22" s="4" t="s">
        <v>24</v>
      </c>
      <c r="D22" s="4"/>
    </row>
    <row r="23" spans="3:8" ht="11.25">
      <c r="C23" s="4" t="s">
        <v>25</v>
      </c>
      <c r="D23" s="10">
        <v>0.09</v>
      </c>
      <c r="E23" s="5">
        <f>ROUND(E$20*$D23,0)</f>
        <v>7920</v>
      </c>
      <c r="F23" s="5">
        <f aca="true" t="shared" si="2" ref="F23:H24">ROUND(F$20*$D23,0)</f>
        <v>8197</v>
      </c>
      <c r="G23" s="5">
        <f t="shared" si="2"/>
        <v>8443</v>
      </c>
      <c r="H23" s="5">
        <f t="shared" si="2"/>
        <v>8697</v>
      </c>
    </row>
    <row r="24" spans="3:8" ht="11.25">
      <c r="C24" s="4" t="s">
        <v>26</v>
      </c>
      <c r="D24" s="10">
        <v>0.15</v>
      </c>
      <c r="E24" s="5">
        <f>ROUND(E$20*$D24,0)</f>
        <v>13200</v>
      </c>
      <c r="F24" s="5">
        <f t="shared" si="2"/>
        <v>13662</v>
      </c>
      <c r="G24" s="5">
        <f t="shared" si="2"/>
        <v>14072</v>
      </c>
      <c r="H24" s="5">
        <f t="shared" si="2"/>
        <v>14494</v>
      </c>
    </row>
    <row r="25" ht="11.25">
      <c r="D25" s="4"/>
    </row>
    <row r="26" spans="3:8" ht="11.25">
      <c r="C26" s="4" t="s">
        <v>27</v>
      </c>
      <c r="D26" s="4"/>
      <c r="E26" s="5">
        <f>SUM(E20:E25)</f>
        <v>109120</v>
      </c>
      <c r="F26" s="5">
        <f>SUM(F20:F25)</f>
        <v>112939</v>
      </c>
      <c r="G26" s="5">
        <f>SUM(G20:G25)</f>
        <v>116327</v>
      </c>
      <c r="H26" s="5">
        <f>SUM(H20:H25)</f>
        <v>119819</v>
      </c>
    </row>
    <row r="28" ht="11.25">
      <c r="A28" s="3"/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 topLeftCell="A1">
      <selection activeCell="D53" sqref="D53"/>
    </sheetView>
  </sheetViews>
  <sheetFormatPr defaultColWidth="9.140625" defaultRowHeight="12.75"/>
  <cols>
    <col min="1" max="1" width="9.140625" style="4" customWidth="1"/>
    <col min="2" max="4" width="10.140625" style="4" bestFit="1" customWidth="1"/>
    <col min="5" max="16384" width="9.140625" style="4" customWidth="1"/>
  </cols>
  <sheetData>
    <row r="1" spans="1:3" ht="11.25">
      <c r="A1" s="4" t="s">
        <v>58</v>
      </c>
      <c r="C1" s="10">
        <v>0.45</v>
      </c>
    </row>
    <row r="2" ht="11.25">
      <c r="C2" s="10"/>
    </row>
    <row r="3" spans="1:4" ht="11.25">
      <c r="A3" s="4" t="s">
        <v>118</v>
      </c>
      <c r="C3" s="10" t="s">
        <v>59</v>
      </c>
      <c r="D3" s="10" t="s">
        <v>60</v>
      </c>
    </row>
    <row r="4" spans="1:4" ht="11.25">
      <c r="A4" s="4" t="s">
        <v>116</v>
      </c>
      <c r="C4" s="5">
        <v>22000</v>
      </c>
      <c r="D4" s="5">
        <f>ROUND(C4*(1+C$1),0)</f>
        <v>31900</v>
      </c>
    </row>
    <row r="5" spans="1:4" ht="11.25">
      <c r="A5" s="4" t="s">
        <v>117</v>
      </c>
      <c r="C5" s="5">
        <v>23000</v>
      </c>
      <c r="D5" s="5">
        <f>ROUND(C5*(1+C$1),0)</f>
        <v>33350</v>
      </c>
    </row>
    <row r="7" spans="2:5" ht="11.25">
      <c r="B7" s="15" t="s">
        <v>32</v>
      </c>
      <c r="C7" s="15" t="s">
        <v>8</v>
      </c>
      <c r="D7" s="15" t="s">
        <v>9</v>
      </c>
      <c r="E7" s="15" t="s">
        <v>10</v>
      </c>
    </row>
    <row r="8" spans="2:5" ht="11.25">
      <c r="B8" s="17">
        <v>0</v>
      </c>
      <c r="C8" s="17">
        <f>'Original target'!C2</f>
        <v>0.035</v>
      </c>
      <c r="D8" s="17">
        <f>'Original target'!D2</f>
        <v>0.03</v>
      </c>
      <c r="E8" s="17">
        <f>'Original target'!E2</f>
        <v>0.03</v>
      </c>
    </row>
    <row r="9" spans="1:5" ht="11.25">
      <c r="A9" s="4" t="s">
        <v>116</v>
      </c>
      <c r="B9" s="5">
        <f>D4</f>
        <v>31900</v>
      </c>
      <c r="C9" s="5">
        <f aca="true" t="shared" si="0" ref="C9:E10">ROUND(B9*(1+C$8),0)</f>
        <v>33017</v>
      </c>
      <c r="D9" s="5">
        <f t="shared" si="0"/>
        <v>34008</v>
      </c>
      <c r="E9" s="5">
        <f t="shared" si="0"/>
        <v>35028</v>
      </c>
    </row>
    <row r="10" spans="1:5" ht="11.25">
      <c r="A10" s="4" t="s">
        <v>117</v>
      </c>
      <c r="B10" s="5">
        <f>D5</f>
        <v>33350</v>
      </c>
      <c r="C10" s="5">
        <f t="shared" si="0"/>
        <v>34517</v>
      </c>
      <c r="D10" s="5">
        <f t="shared" si="0"/>
        <v>35553</v>
      </c>
      <c r="E10" s="5">
        <f t="shared" si="0"/>
        <v>36620</v>
      </c>
    </row>
    <row r="14" ht="11.25">
      <c r="A14" s="15"/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2" width="9.140625" style="4" customWidth="1"/>
    <col min="3" max="4" width="12.7109375" style="4" bestFit="1" customWidth="1"/>
    <col min="5" max="6" width="10.140625" style="4" bestFit="1" customWidth="1"/>
    <col min="7" max="16384" width="9.140625" style="4" customWidth="1"/>
  </cols>
  <sheetData>
    <row r="1" spans="1:3" ht="11.25">
      <c r="A1" s="4" t="s">
        <v>58</v>
      </c>
      <c r="C1" s="10">
        <v>0.45</v>
      </c>
    </row>
    <row r="2" ht="11.25">
      <c r="C2" s="10"/>
    </row>
    <row r="3" spans="1:4" ht="11.25">
      <c r="A3" s="4" t="s">
        <v>118</v>
      </c>
      <c r="C3" s="10" t="s">
        <v>59</v>
      </c>
      <c r="D3" s="10" t="s">
        <v>60</v>
      </c>
    </row>
    <row r="4" spans="1:4" ht="11.25">
      <c r="A4" s="4" t="s">
        <v>112</v>
      </c>
      <c r="C4" s="5">
        <v>350000</v>
      </c>
      <c r="D4" s="5">
        <f>ROUND(C4*(1+C$1),0)</f>
        <v>507500</v>
      </c>
    </row>
    <row r="5" spans="1:4" ht="11.25">
      <c r="A5" s="4" t="s">
        <v>113</v>
      </c>
      <c r="C5" s="5">
        <v>2500</v>
      </c>
      <c r="D5" s="5">
        <f>ROUND(C5*(1+C$1),0)</f>
        <v>3625</v>
      </c>
    </row>
    <row r="6" spans="1:4" ht="11.25">
      <c r="A6" s="4" t="s">
        <v>114</v>
      </c>
      <c r="C6" s="5">
        <v>30000</v>
      </c>
      <c r="D6" s="5">
        <f>ROUND(C6*(1+C$1),0)</f>
        <v>43500</v>
      </c>
    </row>
    <row r="7" spans="1:4" ht="11.25">
      <c r="A7" s="4" t="s">
        <v>115</v>
      </c>
      <c r="C7" s="5">
        <v>25000</v>
      </c>
      <c r="D7" s="5">
        <f>ROUND(C7*(1+C$1),0)</f>
        <v>36250</v>
      </c>
    </row>
    <row r="9" spans="1:5" ht="11.25">
      <c r="A9" s="4" t="s">
        <v>126</v>
      </c>
      <c r="C9" s="4" t="s">
        <v>128</v>
      </c>
      <c r="E9" s="4" t="s">
        <v>127</v>
      </c>
    </row>
    <row r="10" spans="3:5" ht="11.25">
      <c r="C10" s="4" t="s">
        <v>129</v>
      </c>
      <c r="D10" s="5">
        <v>3000000</v>
      </c>
      <c r="E10" s="4">
        <v>4</v>
      </c>
    </row>
    <row r="11" spans="1:5" ht="11.25">
      <c r="A11" s="8"/>
      <c r="C11" s="4" t="s">
        <v>130</v>
      </c>
      <c r="D11" s="5">
        <v>3000000</v>
      </c>
      <c r="E11" s="4">
        <v>4.6</v>
      </c>
    </row>
    <row r="14" spans="3:6" ht="11.25">
      <c r="C14" s="15" t="s">
        <v>32</v>
      </c>
      <c r="D14" s="15" t="s">
        <v>8</v>
      </c>
      <c r="E14" s="15" t="s">
        <v>9</v>
      </c>
      <c r="F14" s="15" t="s">
        <v>10</v>
      </c>
    </row>
    <row r="15" spans="4:6" ht="11.25">
      <c r="D15" s="17">
        <f>'Original target'!C2</f>
        <v>0.035</v>
      </c>
      <c r="E15" s="17">
        <f>'Original target'!D2</f>
        <v>0.03</v>
      </c>
      <c r="F15" s="17">
        <f>'Original target'!E2</f>
        <v>0.03</v>
      </c>
    </row>
    <row r="16" spans="1:6" ht="11.25">
      <c r="A16" s="4" t="s">
        <v>112</v>
      </c>
      <c r="C16" s="5">
        <v>400000</v>
      </c>
      <c r="D16" s="5">
        <f aca="true" t="shared" si="0" ref="D16:F17">ROUND(C16*(1+D$15),0)</f>
        <v>414000</v>
      </c>
      <c r="E16" s="5">
        <f t="shared" si="0"/>
        <v>426420</v>
      </c>
      <c r="F16" s="5">
        <f t="shared" si="0"/>
        <v>439213</v>
      </c>
    </row>
    <row r="17" spans="1:6" ht="11.25">
      <c r="A17" s="4" t="s">
        <v>113</v>
      </c>
      <c r="C17" s="5">
        <f>D5</f>
        <v>3625</v>
      </c>
      <c r="D17" s="5">
        <f t="shared" si="0"/>
        <v>3752</v>
      </c>
      <c r="E17" s="5">
        <f t="shared" si="0"/>
        <v>3865</v>
      </c>
      <c r="F17" s="5">
        <f t="shared" si="0"/>
        <v>3981</v>
      </c>
    </row>
    <row r="18" spans="1:6" ht="11.25">
      <c r="A18" s="4" t="s">
        <v>114</v>
      </c>
      <c r="C18" s="5">
        <f>D6</f>
        <v>43500</v>
      </c>
      <c r="D18" s="5">
        <f aca="true" t="shared" si="1" ref="D18:F19">ROUND(C18*(1+D$15),0)</f>
        <v>45023</v>
      </c>
      <c r="E18" s="5">
        <f t="shared" si="1"/>
        <v>46374</v>
      </c>
      <c r="F18" s="5">
        <f t="shared" si="1"/>
        <v>47765</v>
      </c>
    </row>
    <row r="19" spans="1:6" ht="11.25">
      <c r="A19" s="4" t="s">
        <v>115</v>
      </c>
      <c r="C19" s="5">
        <f>D7</f>
        <v>36250</v>
      </c>
      <c r="D19" s="5">
        <f t="shared" si="1"/>
        <v>37519</v>
      </c>
      <c r="E19" s="5">
        <f t="shared" si="1"/>
        <v>38645</v>
      </c>
      <c r="F19" s="5">
        <f t="shared" si="1"/>
        <v>39804</v>
      </c>
    </row>
    <row r="23" ht="11.25">
      <c r="A23" s="15"/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D53" sqref="D53"/>
    </sheetView>
  </sheetViews>
  <sheetFormatPr defaultColWidth="9.140625" defaultRowHeight="12.75"/>
  <cols>
    <col min="1" max="16384" width="9.140625" style="4" customWidth="1"/>
  </cols>
  <sheetData>
    <row r="1" spans="1:3" ht="11.25">
      <c r="A1" s="4" t="s">
        <v>58</v>
      </c>
      <c r="C1" s="10">
        <v>0.45</v>
      </c>
    </row>
    <row r="2" ht="11.25">
      <c r="C2" s="10"/>
    </row>
    <row r="3" spans="3:4" ht="11.25">
      <c r="C3" s="10" t="s">
        <v>59</v>
      </c>
      <c r="D3" s="10" t="s">
        <v>60</v>
      </c>
    </row>
    <row r="4" spans="1:4" ht="11.25">
      <c r="A4" s="4" t="s">
        <v>119</v>
      </c>
      <c r="C4" s="5">
        <v>120000</v>
      </c>
      <c r="D4" s="5">
        <f>ROUND(C4*(1+C$1),0)</f>
        <v>174000</v>
      </c>
    </row>
    <row r="6" ht="11.25">
      <c r="A6" s="8"/>
    </row>
    <row r="9" spans="3:6" ht="11.25">
      <c r="C9" s="15" t="s">
        <v>32</v>
      </c>
      <c r="D9" s="15" t="s">
        <v>8</v>
      </c>
      <c r="E9" s="15" t="s">
        <v>9</v>
      </c>
      <c r="F9" s="15" t="s">
        <v>10</v>
      </c>
    </row>
    <row r="10" spans="4:6" ht="11.25">
      <c r="D10" s="17">
        <v>0.1</v>
      </c>
      <c r="E10" s="17">
        <v>0.1</v>
      </c>
      <c r="F10" s="17">
        <v>0.1</v>
      </c>
    </row>
    <row r="11" spans="1:6" ht="11.25">
      <c r="A11" s="4" t="s">
        <v>119</v>
      </c>
      <c r="C11" s="5">
        <f>D4</f>
        <v>174000</v>
      </c>
      <c r="D11" s="5">
        <f>ROUND(C11*(1+D$10),0)</f>
        <v>191400</v>
      </c>
      <c r="E11" s="5">
        <f>ROUND(D11*(1+E$10),0)</f>
        <v>210540</v>
      </c>
      <c r="F11" s="5">
        <f>ROUND(E11*(1+F$10),0)</f>
        <v>231594</v>
      </c>
    </row>
    <row r="12" spans="3:6" ht="11.25">
      <c r="C12" s="5"/>
      <c r="D12" s="5"/>
      <c r="E12" s="5"/>
      <c r="F12" s="5"/>
    </row>
    <row r="13" spans="3:6" ht="11.25">
      <c r="C13" s="5"/>
      <c r="D13" s="5"/>
      <c r="E13" s="5"/>
      <c r="F13" s="5"/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pane xSplit="1" ySplit="3" topLeftCell="B1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B43" sqref="B43"/>
    </sheetView>
  </sheetViews>
  <sheetFormatPr defaultColWidth="9.140625" defaultRowHeight="12.75"/>
  <cols>
    <col min="1" max="1" width="34.28125" style="4" customWidth="1"/>
    <col min="2" max="2" width="12.8515625" style="5" bestFit="1" customWidth="1"/>
    <col min="3" max="3" width="14.8515625" style="4" bestFit="1" customWidth="1"/>
    <col min="4" max="5" width="12.00390625" style="4" bestFit="1" customWidth="1"/>
    <col min="6" max="16384" width="9.140625" style="4" customWidth="1"/>
  </cols>
  <sheetData>
    <row r="1" spans="2:5" ht="11.25">
      <c r="B1" s="6" t="s">
        <v>32</v>
      </c>
      <c r="C1" s="6" t="s">
        <v>8</v>
      </c>
      <c r="D1" s="6" t="s">
        <v>9</v>
      </c>
      <c r="E1" s="6" t="s">
        <v>10</v>
      </c>
    </row>
    <row r="2" spans="3:5" ht="11.25">
      <c r="C2" s="17">
        <v>0.035</v>
      </c>
      <c r="D2" s="17">
        <v>0.03</v>
      </c>
      <c r="E2" s="17">
        <v>0.03</v>
      </c>
    </row>
    <row r="3" spans="1:5" ht="11.25">
      <c r="A3" s="11" t="s">
        <v>138</v>
      </c>
      <c r="C3" s="12" t="s">
        <v>46</v>
      </c>
      <c r="D3" s="12" t="s">
        <v>46</v>
      </c>
      <c r="E3" s="12" t="s">
        <v>46</v>
      </c>
    </row>
    <row r="4" ht="11.25">
      <c r="A4" s="4" t="s">
        <v>160</v>
      </c>
    </row>
    <row r="5" spans="1:5" ht="11.25">
      <c r="A5" s="4" t="s">
        <v>150</v>
      </c>
      <c r="B5" s="5">
        <f>'Refuse Teams'!C41</f>
        <v>770322</v>
      </c>
      <c r="C5" s="5">
        <f aca="true" t="shared" si="0" ref="C5:E7">ROUND(B5+(B5*C$2),0)</f>
        <v>797283</v>
      </c>
      <c r="D5" s="5">
        <f t="shared" si="0"/>
        <v>821201</v>
      </c>
      <c r="E5" s="5">
        <f t="shared" si="0"/>
        <v>845837</v>
      </c>
    </row>
    <row r="6" spans="1:5" ht="11.25">
      <c r="A6" s="4" t="s">
        <v>34</v>
      </c>
      <c r="B6" s="5">
        <f>'Man &amp;Sup'!E26</f>
        <v>109120</v>
      </c>
      <c r="C6" s="5">
        <f t="shared" si="0"/>
        <v>112939</v>
      </c>
      <c r="D6" s="5">
        <f t="shared" si="0"/>
        <v>116327</v>
      </c>
      <c r="E6" s="5">
        <f t="shared" si="0"/>
        <v>119817</v>
      </c>
    </row>
    <row r="7" spans="1:5" ht="11.25">
      <c r="A7" s="4" t="s">
        <v>35</v>
      </c>
      <c r="B7" s="5">
        <f>'Man &amp;Sup'!E13</f>
        <v>122760</v>
      </c>
      <c r="C7" s="5">
        <f t="shared" si="0"/>
        <v>127057</v>
      </c>
      <c r="D7" s="5">
        <f t="shared" si="0"/>
        <v>130869</v>
      </c>
      <c r="E7" s="5">
        <f t="shared" si="0"/>
        <v>134795</v>
      </c>
    </row>
    <row r="8" spans="2:5" ht="11.25">
      <c r="B8" s="5">
        <f>SUM(B5:B7)</f>
        <v>1002202</v>
      </c>
      <c r="C8" s="5">
        <f>SUM(C5:C7)</f>
        <v>1037279</v>
      </c>
      <c r="D8" s="5">
        <f>SUM(D5:D7)</f>
        <v>1068397</v>
      </c>
      <c r="E8" s="5">
        <f>SUM(E5:E7)</f>
        <v>1100449</v>
      </c>
    </row>
    <row r="9" ht="11.25">
      <c r="A9" s="4" t="s">
        <v>161</v>
      </c>
    </row>
    <row r="10" spans="1:5" ht="11.25">
      <c r="A10" s="4" t="s">
        <v>162</v>
      </c>
      <c r="B10" s="5">
        <v>700</v>
      </c>
      <c r="C10" s="5">
        <f aca="true" t="shared" si="1" ref="C10:E11">ROUND(B10+(B10*C$2),0)</f>
        <v>725</v>
      </c>
      <c r="D10" s="5">
        <f t="shared" si="1"/>
        <v>747</v>
      </c>
      <c r="E10" s="5">
        <f t="shared" si="1"/>
        <v>769</v>
      </c>
    </row>
    <row r="11" spans="1:5" ht="11.25">
      <c r="A11" s="4" t="s">
        <v>114</v>
      </c>
      <c r="B11" s="5">
        <v>20000</v>
      </c>
      <c r="C11" s="5">
        <f t="shared" si="1"/>
        <v>20700</v>
      </c>
      <c r="D11" s="5">
        <f t="shared" si="1"/>
        <v>21321</v>
      </c>
      <c r="E11" s="5">
        <f t="shared" si="1"/>
        <v>21961</v>
      </c>
    </row>
    <row r="13" spans="1:5" ht="11.25">
      <c r="A13" s="11" t="s">
        <v>163</v>
      </c>
      <c r="B13" s="13">
        <f>SUM(B8:B12)</f>
        <v>1022902</v>
      </c>
      <c r="C13" s="13">
        <f>SUM(C8:C12)</f>
        <v>1058704</v>
      </c>
      <c r="D13" s="13">
        <f>SUM(D8:D12)</f>
        <v>1090465</v>
      </c>
      <c r="E13" s="13">
        <f>SUM(E8:E12)</f>
        <v>1123179</v>
      </c>
    </row>
    <row r="15" ht="11.25">
      <c r="A15" s="11" t="s">
        <v>139</v>
      </c>
    </row>
    <row r="16" spans="1:5" ht="11.25">
      <c r="A16" s="4" t="s">
        <v>151</v>
      </c>
      <c r="B16" s="5">
        <f>Rental!B9</f>
        <v>31900</v>
      </c>
      <c r="C16" s="5">
        <f aca="true" t="shared" si="2" ref="C16:E17">ROUND(B16+(B16*C$2),0)</f>
        <v>33017</v>
      </c>
      <c r="D16" s="5">
        <f t="shared" si="2"/>
        <v>34008</v>
      </c>
      <c r="E16" s="5">
        <f t="shared" si="2"/>
        <v>35028</v>
      </c>
    </row>
    <row r="17" spans="1:5" ht="11.25">
      <c r="A17" s="4" t="s">
        <v>152</v>
      </c>
      <c r="B17" s="5">
        <f>Rental!B10</f>
        <v>33350</v>
      </c>
      <c r="C17" s="5">
        <f t="shared" si="2"/>
        <v>34517</v>
      </c>
      <c r="D17" s="5">
        <f t="shared" si="2"/>
        <v>35553</v>
      </c>
      <c r="E17" s="5">
        <f t="shared" si="2"/>
        <v>36620</v>
      </c>
    </row>
    <row r="19" spans="1:5" ht="11.25">
      <c r="A19" s="11" t="s">
        <v>164</v>
      </c>
      <c r="B19" s="13">
        <f>SUM(B16:B17)</f>
        <v>65250</v>
      </c>
      <c r="C19" s="13">
        <f>SUM(C16:C17)</f>
        <v>67534</v>
      </c>
      <c r="D19" s="13">
        <f>SUM(D16:D17)</f>
        <v>69561</v>
      </c>
      <c r="E19" s="13">
        <f>SUM(E16:E17)</f>
        <v>71648</v>
      </c>
    </row>
    <row r="20" spans="1:2" ht="11.25">
      <c r="A20" s="11"/>
      <c r="B20" s="13"/>
    </row>
    <row r="21" ht="11.25">
      <c r="A21" s="11" t="s">
        <v>140</v>
      </c>
    </row>
    <row r="22" ht="11.25">
      <c r="A22" s="4" t="s">
        <v>165</v>
      </c>
    </row>
    <row r="23" spans="1:5" ht="11.25">
      <c r="A23" s="4" t="s">
        <v>47</v>
      </c>
      <c r="B23" s="5">
        <f>Vehicles!C19</f>
        <v>217500</v>
      </c>
      <c r="C23" s="5">
        <f>ROUND(B23+(B23*C$2),0)</f>
        <v>225113</v>
      </c>
      <c r="D23" s="5">
        <f>ROUND(C23+(C23*D$2),0)</f>
        <v>231866</v>
      </c>
      <c r="E23" s="5">
        <f>ROUND(D23+(D23*E$2),0)</f>
        <v>238822</v>
      </c>
    </row>
    <row r="24" spans="3:5" ht="11.25">
      <c r="C24" s="5"/>
      <c r="D24" s="5"/>
      <c r="E24" s="5"/>
    </row>
    <row r="25" spans="1:5" ht="11.25">
      <c r="A25" s="11" t="s">
        <v>166</v>
      </c>
      <c r="B25" s="13">
        <f>SUM(B23:B24)</f>
        <v>217500</v>
      </c>
      <c r="C25" s="13">
        <f>SUM(C23:C24)</f>
        <v>225113</v>
      </c>
      <c r="D25" s="13">
        <f>SUM(D23:D24)</f>
        <v>231866</v>
      </c>
      <c r="E25" s="13">
        <f>SUM(E23:E24)</f>
        <v>238822</v>
      </c>
    </row>
    <row r="26" spans="3:5" ht="11.25">
      <c r="C26" s="5"/>
      <c r="D26" s="5"/>
      <c r="E26" s="5"/>
    </row>
    <row r="27" ht="11.25">
      <c r="A27" s="4" t="s">
        <v>153</v>
      </c>
    </row>
    <row r="28" spans="1:5" ht="11.25">
      <c r="A28" s="4" t="s">
        <v>111</v>
      </c>
      <c r="B28" s="5">
        <f>Sacks!C16</f>
        <v>105300</v>
      </c>
      <c r="C28" s="5">
        <f aca="true" t="shared" si="3" ref="C28:E32">ROUND(B28+(B28*C$2),0)</f>
        <v>108986</v>
      </c>
      <c r="D28" s="5">
        <f t="shared" si="3"/>
        <v>112256</v>
      </c>
      <c r="E28" s="5">
        <f t="shared" si="3"/>
        <v>115624</v>
      </c>
    </row>
    <row r="29" spans="1:5" ht="11.25">
      <c r="A29" s="4" t="s">
        <v>115</v>
      </c>
      <c r="B29" s="5">
        <f>'Other Costs'!C19</f>
        <v>36250</v>
      </c>
      <c r="C29" s="5">
        <f t="shared" si="3"/>
        <v>37519</v>
      </c>
      <c r="D29" s="5">
        <f t="shared" si="3"/>
        <v>38645</v>
      </c>
      <c r="E29" s="5">
        <f t="shared" si="3"/>
        <v>39804</v>
      </c>
    </row>
    <row r="30" spans="1:5" ht="11.25">
      <c r="A30" s="4" t="s">
        <v>113</v>
      </c>
      <c r="B30" s="5">
        <f>'Other Costs'!C17</f>
        <v>3625</v>
      </c>
      <c r="C30" s="5">
        <f t="shared" si="3"/>
        <v>3752</v>
      </c>
      <c r="D30" s="5">
        <f t="shared" si="3"/>
        <v>3865</v>
      </c>
      <c r="E30" s="5">
        <f t="shared" si="3"/>
        <v>3981</v>
      </c>
    </row>
    <row r="31" spans="1:5" ht="11.25">
      <c r="A31" s="4" t="s">
        <v>114</v>
      </c>
      <c r="B31" s="5">
        <f>'Other Costs'!C18</f>
        <v>43500</v>
      </c>
      <c r="C31" s="5">
        <f t="shared" si="3"/>
        <v>45023</v>
      </c>
      <c r="D31" s="5">
        <f t="shared" si="3"/>
        <v>46374</v>
      </c>
      <c r="E31" s="5">
        <f t="shared" si="3"/>
        <v>47765</v>
      </c>
    </row>
    <row r="32" spans="1:5" ht="11.25">
      <c r="A32" s="4" t="s">
        <v>173</v>
      </c>
      <c r="B32" s="5">
        <f>'Other Costs'!C16</f>
        <v>400000</v>
      </c>
      <c r="C32" s="5">
        <f t="shared" si="3"/>
        <v>414000</v>
      </c>
      <c r="D32" s="5">
        <f t="shared" si="3"/>
        <v>426420</v>
      </c>
      <c r="E32" s="5">
        <f t="shared" si="3"/>
        <v>439213</v>
      </c>
    </row>
    <row r="33" spans="3:5" ht="11.25">
      <c r="C33" s="5"/>
      <c r="D33" s="5"/>
      <c r="E33" s="5"/>
    </row>
    <row r="34" spans="1:5" ht="11.25">
      <c r="A34" s="11" t="s">
        <v>167</v>
      </c>
      <c r="B34" s="13">
        <f>SUM(B28:B33)</f>
        <v>588675</v>
      </c>
      <c r="C34" s="13">
        <f>SUM(C28:C33)</f>
        <v>609280</v>
      </c>
      <c r="D34" s="13">
        <f>SUM(D28:D33)</f>
        <v>627560</v>
      </c>
      <c r="E34" s="13">
        <f>SUM(E28:E33)</f>
        <v>646387</v>
      </c>
    </row>
    <row r="36" spans="1:5" ht="11.25">
      <c r="A36" s="11" t="s">
        <v>141</v>
      </c>
      <c r="B36" s="13">
        <f>'Support Services'!C11</f>
        <v>174000</v>
      </c>
      <c r="C36" s="13">
        <f>ROUND(B36+(B36*C$2),0)</f>
        <v>180090</v>
      </c>
      <c r="D36" s="13">
        <f>ROUND(C36+(C36*D$2),0)</f>
        <v>185493</v>
      </c>
      <c r="E36" s="13">
        <f>ROUND(D36+(D36*E$2),0)</f>
        <v>191058</v>
      </c>
    </row>
    <row r="38" ht="11.25">
      <c r="A38" s="4" t="s">
        <v>61</v>
      </c>
    </row>
    <row r="39" spans="1:5" ht="11.25">
      <c r="A39" s="4" t="s">
        <v>110</v>
      </c>
      <c r="C39" s="5"/>
      <c r="D39" s="5"/>
      <c r="E39" s="5"/>
    </row>
    <row r="40" spans="1:5" ht="11.25">
      <c r="A40" s="4" t="s">
        <v>47</v>
      </c>
      <c r="B40" s="5">
        <f>Vehicles!E92</f>
        <v>146250</v>
      </c>
      <c r="C40" s="5">
        <f>Vehicles!I92</f>
        <v>146250</v>
      </c>
      <c r="D40" s="5">
        <f>Vehicles!M92</f>
        <v>157500</v>
      </c>
      <c r="E40" s="5">
        <f>Vehicles!Q92</f>
        <v>157500</v>
      </c>
    </row>
    <row r="41" spans="3:5" ht="11.25">
      <c r="C41" s="5"/>
      <c r="D41" s="5"/>
      <c r="E41" s="5"/>
    </row>
    <row r="42" spans="1:5" ht="11.25">
      <c r="A42" s="4" t="s">
        <v>73</v>
      </c>
      <c r="C42" s="5"/>
      <c r="D42" s="5"/>
      <c r="E42" s="5"/>
    </row>
    <row r="43" spans="1:5" ht="11.25">
      <c r="A43" s="4" t="s">
        <v>47</v>
      </c>
      <c r="B43" s="5">
        <f>Vehicles!F92</f>
        <v>24566</v>
      </c>
      <c r="C43" s="5">
        <f>Vehicles!J92</f>
        <v>24003</v>
      </c>
      <c r="D43" s="5">
        <f>Vehicles!N92</f>
        <v>22879</v>
      </c>
      <c r="E43" s="5">
        <f>Vehicles!R92</f>
        <v>21753</v>
      </c>
    </row>
    <row r="44" spans="3:5" ht="11.25">
      <c r="C44" s="5"/>
      <c r="D44" s="5"/>
      <c r="E44" s="5"/>
    </row>
    <row r="45" spans="1:5" ht="11.25">
      <c r="A45" s="11" t="s">
        <v>168</v>
      </c>
      <c r="B45" s="13">
        <f>SUM(B40:B44)</f>
        <v>170816</v>
      </c>
      <c r="C45" s="13">
        <f>SUM(C40:C44)</f>
        <v>170253</v>
      </c>
      <c r="D45" s="13">
        <f>SUM(D40:D44)</f>
        <v>180379</v>
      </c>
      <c r="E45" s="13">
        <f>SUM(E40:E44)</f>
        <v>179253</v>
      </c>
    </row>
    <row r="47" spans="1:5" ht="11.25">
      <c r="A47" s="11" t="s">
        <v>154</v>
      </c>
      <c r="B47" s="23" t="s">
        <v>155</v>
      </c>
      <c r="C47" s="23" t="s">
        <v>155</v>
      </c>
      <c r="D47" s="23" t="s">
        <v>155</v>
      </c>
      <c r="E47" s="23" t="s">
        <v>155</v>
      </c>
    </row>
    <row r="49" spans="1:5" ht="11.25">
      <c r="A49" s="11" t="s">
        <v>156</v>
      </c>
      <c r="B49" s="13">
        <f>B13+B19+B25+B34+B36+B45</f>
        <v>2239143</v>
      </c>
      <c r="C49" s="13">
        <f>C13+C19+C25+C34+C36+C45</f>
        <v>2310974</v>
      </c>
      <c r="D49" s="13">
        <f>D13+D19+D25+D34+D36+D45</f>
        <v>2385324</v>
      </c>
      <c r="E49" s="13">
        <f>E13+E19+E25+E34+E36+E45</f>
        <v>2450347</v>
      </c>
    </row>
    <row r="50" ht="11.25">
      <c r="C50" s="5"/>
    </row>
    <row r="51" spans="1:5" ht="11.25">
      <c r="A51" s="4" t="s">
        <v>177</v>
      </c>
      <c r="C51" s="5">
        <f>C49-B49</f>
        <v>71831</v>
      </c>
      <c r="D51" s="5">
        <f>D49-C49</f>
        <v>74350</v>
      </c>
      <c r="E51" s="5">
        <f>E49-D49</f>
        <v>65023</v>
      </c>
    </row>
    <row r="52" spans="3:5" ht="11.25">
      <c r="C52" s="5"/>
      <c r="D52" s="5"/>
      <c r="E52" s="5"/>
    </row>
    <row r="53" spans="3:5" ht="11.25">
      <c r="C53" s="5"/>
      <c r="D53" s="5"/>
      <c r="E53" s="5"/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selection activeCell="D21" sqref="D21:F21"/>
    </sheetView>
  </sheetViews>
  <sheetFormatPr defaultColWidth="9.140625" defaultRowHeight="12.75"/>
  <cols>
    <col min="1" max="1" width="29.00390625" style="4" bestFit="1" customWidth="1"/>
    <col min="2" max="2" width="11.7109375" style="4" bestFit="1" customWidth="1"/>
    <col min="3" max="3" width="12.7109375" style="4" bestFit="1" customWidth="1"/>
    <col min="4" max="4" width="13.421875" style="4" bestFit="1" customWidth="1"/>
    <col min="5" max="5" width="10.140625" style="4" bestFit="1" customWidth="1"/>
    <col min="6" max="6" width="11.140625" style="4" bestFit="1" customWidth="1"/>
    <col min="7" max="7" width="9.140625" style="4" customWidth="1"/>
    <col min="8" max="8" width="12.7109375" style="4" bestFit="1" customWidth="1"/>
    <col min="9" max="16384" width="9.140625" style="4" customWidth="1"/>
  </cols>
  <sheetData>
    <row r="1" spans="1:6" ht="11.25">
      <c r="A1" s="8"/>
      <c r="C1" s="6" t="s">
        <v>32</v>
      </c>
      <c r="D1" s="7" t="s">
        <v>8</v>
      </c>
      <c r="E1" s="7" t="s">
        <v>9</v>
      </c>
      <c r="F1" s="7" t="s">
        <v>10</v>
      </c>
    </row>
    <row r="2" spans="1:6" ht="11.25">
      <c r="A2" s="21" t="s">
        <v>142</v>
      </c>
      <c r="C2" s="17"/>
      <c r="D2" s="7" t="s">
        <v>46</v>
      </c>
      <c r="E2" s="7" t="s">
        <v>46</v>
      </c>
      <c r="F2" s="7" t="s">
        <v>46</v>
      </c>
    </row>
    <row r="3" spans="1:6" ht="11.25">
      <c r="A3" s="21"/>
      <c r="C3" s="17"/>
      <c r="D3" s="17"/>
      <c r="E3" s="17"/>
      <c r="F3" s="17"/>
    </row>
    <row r="4" spans="1:6" ht="11.25">
      <c r="A4" s="9" t="s">
        <v>149</v>
      </c>
      <c r="B4" s="5"/>
      <c r="C4" s="17"/>
      <c r="D4" s="5">
        <v>100000</v>
      </c>
      <c r="E4" s="5">
        <f>D8</f>
        <v>100000</v>
      </c>
      <c r="F4" s="5">
        <f>E8</f>
        <v>100000</v>
      </c>
    </row>
    <row r="5" spans="1:6" ht="11.25">
      <c r="A5" s="9"/>
      <c r="B5" s="5"/>
      <c r="C5" s="17"/>
      <c r="D5" s="17"/>
      <c r="E5" s="17"/>
      <c r="F5" s="17"/>
    </row>
    <row r="6" spans="1:6" ht="11.25">
      <c r="A6" s="9" t="s">
        <v>143</v>
      </c>
      <c r="B6" s="5"/>
      <c r="C6" s="17"/>
      <c r="D6" s="5">
        <v>0</v>
      </c>
      <c r="E6" s="5">
        <v>0</v>
      </c>
      <c r="F6" s="5">
        <v>0</v>
      </c>
    </row>
    <row r="7" spans="1:6" ht="11.25">
      <c r="A7" s="9"/>
      <c r="B7" s="5"/>
      <c r="C7" s="17"/>
      <c r="D7" s="17"/>
      <c r="E7" s="17"/>
      <c r="F7" s="17"/>
    </row>
    <row r="8" spans="1:6" ht="11.25">
      <c r="A8" s="9" t="s">
        <v>144</v>
      </c>
      <c r="B8" s="5"/>
      <c r="C8" s="17"/>
      <c r="D8" s="5">
        <f>D4+D6</f>
        <v>100000</v>
      </c>
      <c r="E8" s="5">
        <f>E4+E6</f>
        <v>100000</v>
      </c>
      <c r="F8" s="5">
        <f>F4+F6</f>
        <v>100000</v>
      </c>
    </row>
    <row r="9" spans="1:6" ht="11.25">
      <c r="A9" s="9"/>
      <c r="B9" s="5"/>
      <c r="C9" s="17"/>
      <c r="D9" s="17"/>
      <c r="E9" s="17"/>
      <c r="F9" s="17"/>
    </row>
    <row r="10" spans="1:6" ht="11.25">
      <c r="A10" s="4" t="s">
        <v>125</v>
      </c>
      <c r="C10" s="5"/>
      <c r="D10" s="5">
        <f>'Refuse Teams'!F8</f>
        <v>13500</v>
      </c>
      <c r="E10" s="5">
        <f>'Refuse Teams'!H8</f>
        <v>21600</v>
      </c>
      <c r="F10" s="5">
        <f>'Refuse Teams'!J8</f>
        <v>27000</v>
      </c>
    </row>
    <row r="11" spans="1:6" ht="11.25">
      <c r="A11" s="21"/>
      <c r="C11" s="17"/>
      <c r="D11" s="17"/>
      <c r="E11" s="17"/>
      <c r="F11" s="17"/>
    </row>
    <row r="12" spans="1:6" ht="11.25">
      <c r="A12" s="9" t="s">
        <v>145</v>
      </c>
      <c r="C12" s="17"/>
      <c r="D12" s="5">
        <f>ROUND((D10/$F10)*D8,0)</f>
        <v>50000</v>
      </c>
      <c r="E12" s="5">
        <f>ROUND((E10/$F10)*E8,0)</f>
        <v>80000</v>
      </c>
      <c r="F12" s="5">
        <f>ROUND((F10/$F10)*F8,0)</f>
        <v>100000</v>
      </c>
    </row>
    <row r="13" spans="1:6" ht="11.25">
      <c r="A13" s="9"/>
      <c r="C13" s="17"/>
      <c r="D13" s="5"/>
      <c r="E13" s="5"/>
      <c r="F13" s="5"/>
    </row>
    <row r="14" spans="1:6" ht="11.25">
      <c r="A14" s="9" t="s">
        <v>147</v>
      </c>
      <c r="C14" s="17"/>
      <c r="D14" s="5"/>
      <c r="E14" s="5">
        <f>D12</f>
        <v>50000</v>
      </c>
      <c r="F14" s="5">
        <f>E12</f>
        <v>80000</v>
      </c>
    </row>
    <row r="15" spans="1:6" ht="11.25">
      <c r="A15" s="9"/>
      <c r="C15" s="17"/>
      <c r="D15" s="5"/>
      <c r="E15" s="5"/>
      <c r="F15" s="5"/>
    </row>
    <row r="16" spans="1:6" ht="11.25">
      <c r="A16" s="21" t="s">
        <v>148</v>
      </c>
      <c r="B16" s="11"/>
      <c r="C16" s="22"/>
      <c r="D16" s="13">
        <f>D12-D14</f>
        <v>50000</v>
      </c>
      <c r="E16" s="13">
        <f>E12-E14</f>
        <v>30000</v>
      </c>
      <c r="F16" s="13">
        <f>F12-F14</f>
        <v>20000</v>
      </c>
    </row>
    <row r="17" spans="1:6" ht="11.25">
      <c r="A17" s="9"/>
      <c r="C17" s="17"/>
      <c r="D17" s="17"/>
      <c r="E17" s="17"/>
      <c r="F17" s="17"/>
    </row>
    <row r="18" spans="1:6" ht="11.25">
      <c r="A18" s="21" t="s">
        <v>175</v>
      </c>
      <c r="B18" s="13"/>
      <c r="C18" s="22"/>
      <c r="D18" s="13"/>
      <c r="E18" s="13"/>
      <c r="F18" s="13"/>
    </row>
    <row r="19" spans="1:6" ht="11.25">
      <c r="A19" s="9" t="s">
        <v>169</v>
      </c>
      <c r="B19" s="5"/>
      <c r="C19" s="17"/>
      <c r="D19" s="5">
        <f>'Original target'!C49</f>
        <v>2310974</v>
      </c>
      <c r="E19" s="5">
        <f>'Original target'!D49</f>
        <v>2385324</v>
      </c>
      <c r="F19" s="5">
        <f>'Original target'!E49</f>
        <v>2450347</v>
      </c>
    </row>
    <row r="20" spans="1:6" ht="11.25">
      <c r="A20" s="4" t="s">
        <v>146</v>
      </c>
      <c r="D20" s="5">
        <f>D16*-1</f>
        <v>-50000</v>
      </c>
      <c r="E20" s="5">
        <f>(D16+E16)*-1</f>
        <v>-80000</v>
      </c>
      <c r="F20" s="5">
        <f>(D16+E16+F16)*-1</f>
        <v>-100000</v>
      </c>
    </row>
    <row r="21" spans="1:6" ht="11.25">
      <c r="A21" s="4" t="s">
        <v>178</v>
      </c>
      <c r="D21" s="5">
        <f>SUM(D19:D20)</f>
        <v>2260974</v>
      </c>
      <c r="E21" s="5">
        <f>SUM(E19:E20)</f>
        <v>2305324</v>
      </c>
      <c r="F21" s="5">
        <f>SUM(F19:F20)</f>
        <v>2350347</v>
      </c>
    </row>
    <row r="28" spans="2:4" ht="11.25">
      <c r="B28" s="7"/>
      <c r="C28" s="7"/>
      <c r="D28" s="7"/>
    </row>
    <row r="29" spans="2:4" ht="11.25">
      <c r="B29" s="7"/>
      <c r="C29" s="7"/>
      <c r="D29" s="7"/>
    </row>
    <row r="30" spans="2:4" ht="11.25">
      <c r="B30" s="5"/>
      <c r="C30" s="5"/>
      <c r="D30" s="5"/>
    </row>
    <row r="31" spans="2:4" ht="11.25">
      <c r="B31" s="5"/>
      <c r="C31" s="5"/>
      <c r="D31" s="5"/>
    </row>
    <row r="32" spans="2:4" ht="11.25">
      <c r="B32" s="5"/>
      <c r="C32" s="5"/>
      <c r="D32" s="5"/>
    </row>
    <row r="33" spans="2:4" ht="11.25">
      <c r="B33" s="5"/>
      <c r="C33" s="5"/>
      <c r="D33" s="5"/>
    </row>
    <row r="34" spans="2:4" ht="11.25">
      <c r="B34" s="5"/>
      <c r="C34" s="5"/>
      <c r="D34" s="5"/>
    </row>
    <row r="35" spans="2:4" ht="11.25">
      <c r="B35" s="5"/>
      <c r="C35" s="5"/>
      <c r="D35" s="5"/>
    </row>
    <row r="36" ht="11.25">
      <c r="D36" s="5"/>
    </row>
  </sheetData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  <headerFooter alignWithMargins="0">
    <oddFooter>&amp;L&amp;F   &amp;A   &amp;D&amp;RPage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9"/>
  <sheetViews>
    <sheetView zoomScale="75" zoomScaleNormal="75" workbookViewId="0" topLeftCell="A1">
      <pane xSplit="1" ySplit="3" topLeftCell="B22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B47" sqref="B47:E47"/>
    </sheetView>
  </sheetViews>
  <sheetFormatPr defaultColWidth="9.140625" defaultRowHeight="12.75"/>
  <cols>
    <col min="1" max="1" width="34.28125" style="4" customWidth="1"/>
    <col min="2" max="2" width="12.8515625" style="5" bestFit="1" customWidth="1"/>
    <col min="3" max="5" width="12.00390625" style="4" bestFit="1" customWidth="1"/>
    <col min="6" max="16384" width="9.140625" style="4" customWidth="1"/>
  </cols>
  <sheetData>
    <row r="1" spans="2:5" ht="11.25">
      <c r="B1" s="6" t="s">
        <v>32</v>
      </c>
      <c r="C1" s="6" t="s">
        <v>8</v>
      </c>
      <c r="D1" s="6" t="s">
        <v>9</v>
      </c>
      <c r="E1" s="6" t="s">
        <v>10</v>
      </c>
    </row>
    <row r="2" spans="3:5" ht="11.25">
      <c r="C2" s="17">
        <v>0.035</v>
      </c>
      <c r="D2" s="17">
        <v>0.03</v>
      </c>
      <c r="E2" s="17">
        <v>0.03</v>
      </c>
    </row>
    <row r="3" spans="1:5" ht="11.25">
      <c r="A3" s="11" t="s">
        <v>138</v>
      </c>
      <c r="C3" s="12" t="s">
        <v>46</v>
      </c>
      <c r="D3" s="12" t="s">
        <v>46</v>
      </c>
      <c r="E3" s="12" t="s">
        <v>46</v>
      </c>
    </row>
    <row r="4" ht="11.25">
      <c r="A4" s="4" t="s">
        <v>160</v>
      </c>
    </row>
    <row r="5" spans="1:5" ht="11.25">
      <c r="A5" s="4" t="s">
        <v>150</v>
      </c>
      <c r="B5" s="5">
        <f>'Refuse Teams'!C41</f>
        <v>770322</v>
      </c>
      <c r="C5" s="5">
        <f>ROUND(B5+(B5*C$2),0)</f>
        <v>797283</v>
      </c>
      <c r="D5" s="5">
        <f>ROUND(C5+(C5*D$2),0)</f>
        <v>821201</v>
      </c>
      <c r="E5" s="5">
        <f>ROUND(D5+(D5*E$2),0)</f>
        <v>845837</v>
      </c>
    </row>
    <row r="6" spans="1:5" ht="11.25">
      <c r="A6" s="4" t="s">
        <v>34</v>
      </c>
      <c r="B6" s="5">
        <f>'Man &amp;Sup'!E26</f>
        <v>109120</v>
      </c>
      <c r="C6" s="5">
        <f aca="true" t="shared" si="0" ref="C6:E7">ROUND(B6+(B6*C$2),0)</f>
        <v>112939</v>
      </c>
      <c r="D6" s="5">
        <f t="shared" si="0"/>
        <v>116327</v>
      </c>
      <c r="E6" s="5">
        <f t="shared" si="0"/>
        <v>119817</v>
      </c>
    </row>
    <row r="7" spans="1:5" ht="11.25">
      <c r="A7" s="4" t="s">
        <v>35</v>
      </c>
      <c r="B7" s="5">
        <f>'Man &amp;Sup'!E13</f>
        <v>122760</v>
      </c>
      <c r="C7" s="5">
        <f t="shared" si="0"/>
        <v>127057</v>
      </c>
      <c r="D7" s="5">
        <f t="shared" si="0"/>
        <v>130869</v>
      </c>
      <c r="E7" s="5">
        <f t="shared" si="0"/>
        <v>134795</v>
      </c>
    </row>
    <row r="8" spans="2:5" ht="11.25">
      <c r="B8" s="5">
        <f>SUM(B5:B7)</f>
        <v>1002202</v>
      </c>
      <c r="C8" s="5">
        <f>SUM(C5:C7)</f>
        <v>1037279</v>
      </c>
      <c r="D8" s="5">
        <f>SUM(D5:D7)</f>
        <v>1068397</v>
      </c>
      <c r="E8" s="5">
        <f>SUM(E5:E7)</f>
        <v>1100449</v>
      </c>
    </row>
    <row r="9" ht="11.25">
      <c r="A9" s="4" t="s">
        <v>161</v>
      </c>
    </row>
    <row r="10" spans="1:5" ht="11.25">
      <c r="A10" s="4" t="s">
        <v>162</v>
      </c>
      <c r="B10" s="5">
        <v>700</v>
      </c>
      <c r="C10" s="5">
        <f aca="true" t="shared" si="1" ref="C10:E11">ROUND(B10+(B10*C$2),0)</f>
        <v>725</v>
      </c>
      <c r="D10" s="5">
        <f t="shared" si="1"/>
        <v>747</v>
      </c>
      <c r="E10" s="5">
        <f t="shared" si="1"/>
        <v>769</v>
      </c>
    </row>
    <row r="11" spans="1:5" ht="11.25">
      <c r="A11" s="4" t="s">
        <v>114</v>
      </c>
      <c r="B11" s="5">
        <v>20000</v>
      </c>
      <c r="C11" s="5">
        <f t="shared" si="1"/>
        <v>20700</v>
      </c>
      <c r="D11" s="5">
        <f t="shared" si="1"/>
        <v>21321</v>
      </c>
      <c r="E11" s="5">
        <f t="shared" si="1"/>
        <v>21961</v>
      </c>
    </row>
    <row r="13" spans="1:5" ht="11.25">
      <c r="A13" s="11" t="s">
        <v>163</v>
      </c>
      <c r="B13" s="13">
        <f>SUM(B8:B12)</f>
        <v>1022902</v>
      </c>
      <c r="C13" s="13">
        <f>SUM(C8:C12)</f>
        <v>1058704</v>
      </c>
      <c r="D13" s="13">
        <f>SUM(D8:D12)</f>
        <v>1090465</v>
      </c>
      <c r="E13" s="13">
        <f>SUM(E8:E12)</f>
        <v>1123179</v>
      </c>
    </row>
    <row r="15" ht="11.25">
      <c r="A15" s="11" t="s">
        <v>139</v>
      </c>
    </row>
    <row r="16" spans="1:5" ht="11.25">
      <c r="A16" s="4" t="s">
        <v>151</v>
      </c>
      <c r="B16" s="5">
        <f>Rental!B9</f>
        <v>31900</v>
      </c>
      <c r="C16" s="5">
        <f aca="true" t="shared" si="2" ref="C16:E17">ROUND(B16+(B16*C$2),0)</f>
        <v>33017</v>
      </c>
      <c r="D16" s="5">
        <f t="shared" si="2"/>
        <v>34008</v>
      </c>
      <c r="E16" s="5">
        <f t="shared" si="2"/>
        <v>35028</v>
      </c>
    </row>
    <row r="17" spans="1:5" ht="11.25">
      <c r="A17" s="4" t="s">
        <v>152</v>
      </c>
      <c r="B17" s="5">
        <f>Rental!B10</f>
        <v>33350</v>
      </c>
      <c r="C17" s="5">
        <f t="shared" si="2"/>
        <v>34517</v>
      </c>
      <c r="D17" s="5">
        <f t="shared" si="2"/>
        <v>35553</v>
      </c>
      <c r="E17" s="5">
        <f t="shared" si="2"/>
        <v>36620</v>
      </c>
    </row>
    <row r="19" spans="1:5" ht="11.25">
      <c r="A19" s="11" t="s">
        <v>164</v>
      </c>
      <c r="B19" s="13">
        <f>SUM(B16:B17)</f>
        <v>65250</v>
      </c>
      <c r="C19" s="13">
        <f>SUM(C16:C17)</f>
        <v>67534</v>
      </c>
      <c r="D19" s="13">
        <f>SUM(D16:D17)</f>
        <v>69561</v>
      </c>
      <c r="E19" s="13">
        <f>SUM(E16:E17)</f>
        <v>71648</v>
      </c>
    </row>
    <row r="20" spans="1:2" ht="11.25">
      <c r="A20" s="11"/>
      <c r="B20" s="13"/>
    </row>
    <row r="21" ht="11.25">
      <c r="A21" s="11" t="s">
        <v>140</v>
      </c>
    </row>
    <row r="22" ht="11.25">
      <c r="A22" s="4" t="s">
        <v>165</v>
      </c>
    </row>
    <row r="23" spans="1:5" ht="11.25">
      <c r="A23" s="4" t="s">
        <v>47</v>
      </c>
      <c r="B23" s="5">
        <f>Vehicles!C19</f>
        <v>217500</v>
      </c>
      <c r="C23" s="5">
        <f>ROUND(B23+(B23*C$2),0)</f>
        <v>225113</v>
      </c>
      <c r="D23" s="5">
        <f>ROUND(C23+(C23*D$2),0)</f>
        <v>231866</v>
      </c>
      <c r="E23" s="5">
        <f>ROUND(D23+(D23*E$2),0)</f>
        <v>238822</v>
      </c>
    </row>
    <row r="24" spans="3:5" ht="11.25">
      <c r="C24" s="5"/>
      <c r="D24" s="5"/>
      <c r="E24" s="5"/>
    </row>
    <row r="25" ht="11.25">
      <c r="A25" s="4" t="s">
        <v>153</v>
      </c>
    </row>
    <row r="26" spans="1:5" ht="11.25">
      <c r="A26" s="4" t="s">
        <v>111</v>
      </c>
      <c r="B26" s="5">
        <f>Sacks!C16</f>
        <v>105300</v>
      </c>
      <c r="C26" s="5">
        <f aca="true" t="shared" si="3" ref="C26:E30">ROUND(B26+(B26*C$2),0)</f>
        <v>108986</v>
      </c>
      <c r="D26" s="5">
        <f t="shared" si="3"/>
        <v>112256</v>
      </c>
      <c r="E26" s="5">
        <f t="shared" si="3"/>
        <v>115624</v>
      </c>
    </row>
    <row r="27" spans="1:5" ht="11.25">
      <c r="A27" s="4" t="s">
        <v>115</v>
      </c>
      <c r="B27" s="5">
        <f>'Other Costs'!C19</f>
        <v>36250</v>
      </c>
      <c r="C27" s="5">
        <f>ROUND(B27+(B27*C$2),0)</f>
        <v>37519</v>
      </c>
      <c r="D27" s="5">
        <f>ROUND(C27+(C27*D$2),0)</f>
        <v>38645</v>
      </c>
      <c r="E27" s="5">
        <f>ROUND(D27+(D27*E$2),0)</f>
        <v>39804</v>
      </c>
    </row>
    <row r="28" spans="1:5" ht="11.25">
      <c r="A28" s="4" t="s">
        <v>113</v>
      </c>
      <c r="B28" s="5">
        <f>'Other Costs'!C17</f>
        <v>3625</v>
      </c>
      <c r="C28" s="5">
        <f t="shared" si="3"/>
        <v>3752</v>
      </c>
      <c r="D28" s="5">
        <f t="shared" si="3"/>
        <v>3865</v>
      </c>
      <c r="E28" s="5">
        <f t="shared" si="3"/>
        <v>3981</v>
      </c>
    </row>
    <row r="29" spans="1:5" ht="11.25">
      <c r="A29" s="4" t="s">
        <v>114</v>
      </c>
      <c r="B29" s="5">
        <f>'Other Costs'!C18</f>
        <v>43500</v>
      </c>
      <c r="C29" s="5">
        <f t="shared" si="3"/>
        <v>45023</v>
      </c>
      <c r="D29" s="5">
        <f>ROUND(C29+(C29*D$2),0)</f>
        <v>46374</v>
      </c>
      <c r="E29" s="5">
        <f>ROUND(D29+(D29*E$2),0)</f>
        <v>47765</v>
      </c>
    </row>
    <row r="30" spans="1:5" ht="11.25">
      <c r="A30" s="4" t="s">
        <v>173</v>
      </c>
      <c r="B30" s="5">
        <f>'Other Costs'!C16</f>
        <v>400000</v>
      </c>
      <c r="C30" s="5">
        <f t="shared" si="3"/>
        <v>414000</v>
      </c>
      <c r="D30" s="5">
        <f>ROUND(C30+(C30*D$2),0)</f>
        <v>426420</v>
      </c>
      <c r="E30" s="5">
        <f>ROUND(D30+(D30*E$2),0)</f>
        <v>439213</v>
      </c>
    </row>
    <row r="31" spans="3:5" ht="11.25">
      <c r="C31" s="5"/>
      <c r="D31" s="5"/>
      <c r="E31" s="5"/>
    </row>
    <row r="32" spans="1:5" ht="11.25">
      <c r="A32" s="11" t="s">
        <v>167</v>
      </c>
      <c r="B32" s="13">
        <f>SUM(B26:B31)</f>
        <v>588675</v>
      </c>
      <c r="C32" s="13">
        <f>SUM(C26:C31)</f>
        <v>609280</v>
      </c>
      <c r="D32" s="13">
        <f>SUM(D26:D31)</f>
        <v>627560</v>
      </c>
      <c r="E32" s="13">
        <f>SUM(E26:E31)</f>
        <v>646387</v>
      </c>
    </row>
    <row r="34" spans="1:5" ht="11.25">
      <c r="A34" s="11" t="s">
        <v>141</v>
      </c>
      <c r="B34" s="13">
        <f>'Support Services'!C11</f>
        <v>174000</v>
      </c>
      <c r="C34" s="13">
        <f>ROUND(B34+(B34*C$2),0)</f>
        <v>180090</v>
      </c>
      <c r="D34" s="13">
        <f>ROUND(C34+(C34*D$2),0)</f>
        <v>185493</v>
      </c>
      <c r="E34" s="13">
        <f>ROUND(D34+(D34*E$2),0)</f>
        <v>191058</v>
      </c>
    </row>
    <row r="36" ht="11.25">
      <c r="A36" s="4" t="s">
        <v>61</v>
      </c>
    </row>
    <row r="37" spans="1:5" ht="11.25">
      <c r="A37" s="4" t="s">
        <v>110</v>
      </c>
      <c r="C37" s="5"/>
      <c r="D37" s="5"/>
      <c r="E37" s="5"/>
    </row>
    <row r="38" spans="1:5" ht="11.25">
      <c r="A38" s="4" t="s">
        <v>47</v>
      </c>
      <c r="B38" s="5">
        <f>Vehicles!E92</f>
        <v>146250</v>
      </c>
      <c r="C38" s="5">
        <f>Vehicles!I92</f>
        <v>146250</v>
      </c>
      <c r="D38" s="5">
        <f>Vehicles!M92</f>
        <v>157500</v>
      </c>
      <c r="E38" s="5">
        <f>Vehicles!Q92</f>
        <v>157500</v>
      </c>
    </row>
    <row r="39" spans="3:5" ht="11.25">
      <c r="C39" s="5"/>
      <c r="D39" s="5"/>
      <c r="E39" s="5"/>
    </row>
    <row r="40" spans="1:5" ht="11.25">
      <c r="A40" s="4" t="s">
        <v>73</v>
      </c>
      <c r="C40" s="5"/>
      <c r="D40" s="5"/>
      <c r="E40" s="5"/>
    </row>
    <row r="41" spans="1:5" ht="11.25">
      <c r="A41" s="4" t="s">
        <v>47</v>
      </c>
      <c r="B41" s="5">
        <f>Vehicles!F92</f>
        <v>24566</v>
      </c>
      <c r="C41" s="5">
        <f>Vehicles!J92</f>
        <v>24003</v>
      </c>
      <c r="D41" s="5">
        <f>Vehicles!N92</f>
        <v>22879</v>
      </c>
      <c r="E41" s="5">
        <f>Vehicles!R92</f>
        <v>21753</v>
      </c>
    </row>
    <row r="42" spans="3:5" ht="11.25">
      <c r="C42" s="5"/>
      <c r="D42" s="5"/>
      <c r="E42" s="5"/>
    </row>
    <row r="43" spans="1:5" ht="11.25">
      <c r="A43" s="11" t="s">
        <v>168</v>
      </c>
      <c r="B43" s="13">
        <f>SUM(B38:B42)</f>
        <v>170816</v>
      </c>
      <c r="C43" s="13">
        <f>SUM(C38:C42)</f>
        <v>170253</v>
      </c>
      <c r="D43" s="13">
        <f>SUM(D38:D42)</f>
        <v>180379</v>
      </c>
      <c r="E43" s="13">
        <f>SUM(E38:E42)</f>
        <v>179253</v>
      </c>
    </row>
    <row r="45" spans="1:5" ht="11.25">
      <c r="A45" s="11" t="s">
        <v>154</v>
      </c>
      <c r="B45" s="23" t="s">
        <v>155</v>
      </c>
      <c r="C45" s="23" t="s">
        <v>155</v>
      </c>
      <c r="D45" s="23" t="s">
        <v>155</v>
      </c>
      <c r="E45" s="23" t="s">
        <v>155</v>
      </c>
    </row>
    <row r="47" spans="1:5" ht="11.25">
      <c r="A47" s="11" t="s">
        <v>156</v>
      </c>
      <c r="B47" s="13">
        <f>B13+B19+B23+B32+B34+B43</f>
        <v>2239143</v>
      </c>
      <c r="C47" s="13">
        <f>C13+C19+C23+C32+C34+C43</f>
        <v>2310974</v>
      </c>
      <c r="D47" s="13">
        <f>D13+D19+D23+D32+D34+D43</f>
        <v>2385324</v>
      </c>
      <c r="E47" s="13">
        <f>E13+E19+E23+E32+E34+E43</f>
        <v>2450347</v>
      </c>
    </row>
    <row r="49" ht="11.25">
      <c r="A49" s="4" t="s">
        <v>177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38">
      <selection activeCell="A1" sqref="A1:H57"/>
    </sheetView>
  </sheetViews>
  <sheetFormatPr defaultColWidth="9.140625" defaultRowHeight="12.75"/>
  <cols>
    <col min="1" max="1" width="27.421875" style="25" customWidth="1"/>
    <col min="2" max="4" width="9.00390625" style="25" customWidth="1"/>
    <col min="5" max="5" width="9.8515625" style="25" bestFit="1" customWidth="1"/>
    <col min="6" max="6" width="11.00390625" style="25" customWidth="1"/>
    <col min="7" max="7" width="9.7109375" style="25" customWidth="1"/>
    <col min="8" max="16384" width="9.140625" style="25" customWidth="1"/>
  </cols>
  <sheetData>
    <row r="1" spans="1:9" ht="15.75">
      <c r="A1" s="111" t="s">
        <v>237</v>
      </c>
      <c r="B1" s="111"/>
      <c r="C1" s="111"/>
      <c r="D1" s="111"/>
      <c r="E1" s="111"/>
      <c r="F1" s="111"/>
      <c r="G1" s="111"/>
      <c r="H1" s="78"/>
      <c r="I1" s="78"/>
    </row>
    <row r="2" spans="1:9" ht="10.5" customHeight="1">
      <c r="A2" s="79"/>
      <c r="B2" s="80"/>
      <c r="C2" s="80"/>
      <c r="D2" s="80"/>
      <c r="E2" s="80"/>
      <c r="F2" s="80"/>
      <c r="G2" s="81"/>
      <c r="H2" s="84"/>
      <c r="I2" s="85"/>
    </row>
    <row r="3" spans="1:9" ht="15" customHeight="1">
      <c r="A3" s="82" t="s">
        <v>236</v>
      </c>
      <c r="B3" s="80"/>
      <c r="C3" s="80"/>
      <c r="D3" s="80"/>
      <c r="E3" s="80"/>
      <c r="F3" s="81"/>
      <c r="G3" s="81"/>
      <c r="H3" s="84"/>
      <c r="I3" s="86"/>
    </row>
    <row r="4" spans="1:9" ht="12.75" customHeight="1">
      <c r="A4" s="80"/>
      <c r="B4" s="80"/>
      <c r="C4" s="80"/>
      <c r="D4" s="80"/>
      <c r="E4" s="80"/>
      <c r="F4" s="81"/>
      <c r="G4" s="81"/>
      <c r="H4" s="84"/>
      <c r="I4" s="86"/>
    </row>
    <row r="5" spans="6:9" ht="12.75">
      <c r="F5" s="83"/>
      <c r="G5" s="83"/>
      <c r="I5" s="72"/>
    </row>
    <row r="6" spans="6:7" ht="12.75">
      <c r="F6" s="83"/>
      <c r="G6" s="74" t="s">
        <v>189</v>
      </c>
    </row>
    <row r="7" spans="3:6" ht="12.75">
      <c r="C7" s="68" t="s">
        <v>32</v>
      </c>
      <c r="D7" s="69" t="s">
        <v>8</v>
      </c>
      <c r="E7" s="69" t="s">
        <v>9</v>
      </c>
      <c r="F7" s="69" t="s">
        <v>10</v>
      </c>
    </row>
    <row r="8" spans="1:2" ht="12.75">
      <c r="A8" s="94" t="s">
        <v>239</v>
      </c>
      <c r="B8" s="24"/>
    </row>
    <row r="9" spans="1:7" ht="12.75">
      <c r="A9" s="24"/>
      <c r="B9" s="24"/>
      <c r="G9" s="57"/>
    </row>
    <row r="10" spans="1:7" ht="12.75">
      <c r="A10" s="24" t="s">
        <v>55</v>
      </c>
      <c r="C10" s="70" t="s">
        <v>155</v>
      </c>
      <c r="D10" s="71">
        <f>'Original target'!C2</f>
        <v>0.035</v>
      </c>
      <c r="E10" s="71">
        <f>'Original target'!D2</f>
        <v>0.03</v>
      </c>
      <c r="F10" s="71">
        <f>'Original target'!E2</f>
        <v>0.03</v>
      </c>
      <c r="G10" s="53" t="s">
        <v>318</v>
      </c>
    </row>
    <row r="11" spans="3:7" ht="12.75">
      <c r="C11" s="34"/>
      <c r="D11" s="35"/>
      <c r="E11" s="35"/>
      <c r="F11" s="35"/>
      <c r="G11" s="53"/>
    </row>
    <row r="12" spans="1:7" ht="12.75">
      <c r="A12" s="24" t="s">
        <v>187</v>
      </c>
      <c r="C12" s="34"/>
      <c r="D12" s="35"/>
      <c r="E12" s="35"/>
      <c r="F12" s="35"/>
      <c r="G12" s="53"/>
    </row>
    <row r="13" spans="1:7" ht="12.75">
      <c r="A13" s="25" t="s">
        <v>246</v>
      </c>
      <c r="C13" s="65">
        <v>55023</v>
      </c>
      <c r="D13" s="30">
        <f>ROUND(C13*(1+D10),0)</f>
        <v>56949</v>
      </c>
      <c r="E13" s="30">
        <f>ROUND(D13*(1+E10),0)</f>
        <v>58657</v>
      </c>
      <c r="F13" s="30">
        <f>ROUND(E13*(1+F10),0)</f>
        <v>60417</v>
      </c>
      <c r="G13" s="53">
        <v>26</v>
      </c>
    </row>
    <row r="14" spans="1:7" ht="12.75">
      <c r="A14" s="25" t="s">
        <v>247</v>
      </c>
      <c r="D14" s="30">
        <f>'Appendix B1'!D26</f>
        <v>8</v>
      </c>
      <c r="E14" s="30">
        <f>'Appendix B1'!E26</f>
        <v>4</v>
      </c>
      <c r="F14" s="30">
        <f>'Appendix B1'!F26</f>
        <v>0</v>
      </c>
      <c r="G14" s="53" t="s">
        <v>319</v>
      </c>
    </row>
    <row r="15" spans="4:7" ht="12.75">
      <c r="D15" s="30"/>
      <c r="E15" s="30"/>
      <c r="F15" s="30"/>
      <c r="G15" s="53"/>
    </row>
    <row r="16" spans="1:7" ht="12.75">
      <c r="A16" s="24" t="s">
        <v>182</v>
      </c>
      <c r="B16" s="24"/>
      <c r="C16" s="41"/>
      <c r="D16" s="106">
        <f>D13*D14</f>
        <v>455592</v>
      </c>
      <c r="E16" s="106">
        <f>E13*E14</f>
        <v>234628</v>
      </c>
      <c r="F16" s="106">
        <f>F13*F14</f>
        <v>0</v>
      </c>
      <c r="G16" s="53"/>
    </row>
    <row r="17" spans="3:7" ht="12.75">
      <c r="C17" s="30"/>
      <c r="D17" s="30"/>
      <c r="E17" s="30"/>
      <c r="F17" s="30"/>
      <c r="G17" s="53"/>
    </row>
    <row r="18" spans="1:7" ht="12.75">
      <c r="A18" s="24" t="s">
        <v>186</v>
      </c>
      <c r="D18" s="30"/>
      <c r="E18" s="30"/>
      <c r="F18" s="30"/>
      <c r="G18" s="53"/>
    </row>
    <row r="19" spans="1:7" ht="12.75">
      <c r="A19" s="25" t="s">
        <v>246</v>
      </c>
      <c r="C19" s="65">
        <v>41865</v>
      </c>
      <c r="D19" s="30">
        <f>ROUND(C19*(1+D10),0)</f>
        <v>43330</v>
      </c>
      <c r="E19" s="30">
        <f>ROUND(D19*(1+E10),0)</f>
        <v>44630</v>
      </c>
      <c r="F19" s="30">
        <f>ROUND(E19*(1+F10),0)</f>
        <v>45969</v>
      </c>
      <c r="G19" s="53">
        <v>26</v>
      </c>
    </row>
    <row r="20" spans="1:7" ht="12.75">
      <c r="A20" s="25" t="s">
        <v>247</v>
      </c>
      <c r="D20" s="30">
        <f>'Appendix B1'!D50</f>
        <v>9</v>
      </c>
      <c r="E20" s="30">
        <f>'Appendix B1'!E50</f>
        <v>12</v>
      </c>
      <c r="F20" s="30">
        <f>'Appendix B1'!F50</f>
        <v>16</v>
      </c>
      <c r="G20" s="53"/>
    </row>
    <row r="21" spans="4:7" ht="12.75">
      <c r="D21" s="30"/>
      <c r="E21" s="30"/>
      <c r="F21" s="30"/>
      <c r="G21" s="53"/>
    </row>
    <row r="22" spans="1:8" ht="12.75">
      <c r="A22" s="24" t="s">
        <v>182</v>
      </c>
      <c r="B22" s="24"/>
      <c r="C22" s="41"/>
      <c r="D22" s="106">
        <f>D19*D20</f>
        <v>389970</v>
      </c>
      <c r="E22" s="106">
        <f>E19*E20</f>
        <v>535560</v>
      </c>
      <c r="F22" s="106">
        <f>F19*F20</f>
        <v>735504</v>
      </c>
      <c r="G22" s="53"/>
      <c r="H22" s="119" t="s">
        <v>339</v>
      </c>
    </row>
    <row r="23" spans="4:7" ht="12.75">
      <c r="D23" s="30"/>
      <c r="E23" s="30"/>
      <c r="F23" s="30"/>
      <c r="G23" s="53"/>
    </row>
    <row r="24" spans="4:7" ht="12.75">
      <c r="D24" s="73" t="s">
        <v>197</v>
      </c>
      <c r="E24" s="73" t="s">
        <v>198</v>
      </c>
      <c r="F24" s="73" t="s">
        <v>199</v>
      </c>
      <c r="G24" s="53"/>
    </row>
    <row r="25" spans="1:7" ht="12.75">
      <c r="A25" s="25" t="s">
        <v>256</v>
      </c>
      <c r="D25" s="30">
        <f>D16+D22</f>
        <v>845562</v>
      </c>
      <c r="E25" s="30">
        <f>E16+E22</f>
        <v>770188</v>
      </c>
      <c r="F25" s="30">
        <f>F16+F22</f>
        <v>735504</v>
      </c>
      <c r="G25" s="53"/>
    </row>
    <row r="26" spans="1:7" ht="12.75">
      <c r="A26" s="25" t="s">
        <v>255</v>
      </c>
      <c r="D26" s="30">
        <f>'Budget Schedule'!C5</f>
        <v>797283</v>
      </c>
      <c r="E26" s="30">
        <f>'Budget Schedule'!D5</f>
        <v>821201</v>
      </c>
      <c r="F26" s="30">
        <f>'Budget Schedule'!E5</f>
        <v>845837</v>
      </c>
      <c r="G26" s="53">
        <v>8</v>
      </c>
    </row>
    <row r="27" spans="1:8" ht="12.75">
      <c r="A27" s="24" t="s">
        <v>324</v>
      </c>
      <c r="B27" s="24"/>
      <c r="C27" s="24"/>
      <c r="D27" s="95">
        <f>D25-D26</f>
        <v>48279</v>
      </c>
      <c r="E27" s="95">
        <f>E25-E26</f>
        <v>-51013</v>
      </c>
      <c r="F27" s="95">
        <f>F25-F26</f>
        <v>-110333</v>
      </c>
      <c r="G27" s="53"/>
      <c r="H27" s="119" t="s">
        <v>342</v>
      </c>
    </row>
    <row r="28" spans="1:7" ht="12.75">
      <c r="A28" s="24"/>
      <c r="B28" s="24"/>
      <c r="C28" s="24"/>
      <c r="D28" s="62"/>
      <c r="E28" s="62"/>
      <c r="F28" s="62"/>
      <c r="G28" s="53"/>
    </row>
    <row r="29" spans="1:7" ht="12.75">
      <c r="A29" s="24"/>
      <c r="B29" s="24"/>
      <c r="G29" s="57"/>
    </row>
    <row r="30" spans="1:7" ht="12.75">
      <c r="A30" s="94" t="s">
        <v>238</v>
      </c>
      <c r="B30" s="24"/>
      <c r="G30" s="57"/>
    </row>
    <row r="31" spans="1:7" ht="12.75">
      <c r="A31" s="24"/>
      <c r="B31" s="24"/>
      <c r="G31" s="57"/>
    </row>
    <row r="32" spans="1:6" ht="12.75">
      <c r="A32" s="24" t="s">
        <v>325</v>
      </c>
      <c r="C32" s="66"/>
      <c r="D32" s="67"/>
      <c r="E32" s="67"/>
      <c r="F32" s="67"/>
    </row>
    <row r="33" spans="1:7" ht="12.75">
      <c r="A33" s="25" t="s">
        <v>240</v>
      </c>
      <c r="C33" s="30">
        <f>'Appendix B1'!C26</f>
        <v>14</v>
      </c>
      <c r="D33" s="30">
        <f>'Appendix B1'!D26</f>
        <v>8</v>
      </c>
      <c r="E33" s="30">
        <f>'Appendix B1'!E26</f>
        <v>4</v>
      </c>
      <c r="F33" s="30">
        <f>'Appendix B1'!F26</f>
        <v>0</v>
      </c>
      <c r="G33" s="53" t="s">
        <v>319</v>
      </c>
    </row>
    <row r="34" spans="1:7" ht="12.75">
      <c r="A34" s="25" t="s">
        <v>241</v>
      </c>
      <c r="C34" s="30">
        <f>'Appendix B1'!C50</f>
        <v>0</v>
      </c>
      <c r="D34" s="30">
        <f>'Appendix B1'!D50</f>
        <v>9</v>
      </c>
      <c r="E34" s="30">
        <f>'Appendix B1'!E50</f>
        <v>12</v>
      </c>
      <c r="F34" s="30">
        <f>'Appendix B1'!F50</f>
        <v>16</v>
      </c>
      <c r="G34" s="53" t="s">
        <v>319</v>
      </c>
    </row>
    <row r="35" spans="1:7" ht="12.75">
      <c r="A35" s="25" t="s">
        <v>326</v>
      </c>
      <c r="C35" s="38">
        <f>SUM(C33:C34)</f>
        <v>14</v>
      </c>
      <c r="D35" s="38">
        <f>SUM(D33:D34)</f>
        <v>17</v>
      </c>
      <c r="E35" s="38">
        <f>SUM(E33:E34)</f>
        <v>16</v>
      </c>
      <c r="F35" s="38">
        <f>SUM(F33:F34)</f>
        <v>16</v>
      </c>
      <c r="G35" s="53"/>
    </row>
    <row r="36" spans="1:7" ht="12.75">
      <c r="A36" s="25" t="s">
        <v>242</v>
      </c>
      <c r="C36" s="30">
        <v>1</v>
      </c>
      <c r="D36" s="30">
        <v>1</v>
      </c>
      <c r="E36" s="30">
        <v>1</v>
      </c>
      <c r="F36" s="30">
        <v>1</v>
      </c>
      <c r="G36" s="53">
        <v>11</v>
      </c>
    </row>
    <row r="37" spans="1:7" ht="12.75">
      <c r="A37" s="25" t="s">
        <v>327</v>
      </c>
      <c r="C37" s="96">
        <f>SUM(C35:C36)</f>
        <v>15</v>
      </c>
      <c r="D37" s="96">
        <f>SUM(D35:D36)</f>
        <v>18</v>
      </c>
      <c r="E37" s="96">
        <f>SUM(E35:E36)</f>
        <v>17</v>
      </c>
      <c r="F37" s="96">
        <f>SUM(F35:F36)</f>
        <v>17</v>
      </c>
      <c r="G37" s="53"/>
    </row>
    <row r="38" spans="1:7" ht="12.75">
      <c r="A38" s="37"/>
      <c r="C38" s="37"/>
      <c r="D38" s="39"/>
      <c r="E38" s="39"/>
      <c r="F38" s="39"/>
      <c r="G38" s="53"/>
    </row>
    <row r="39" spans="1:6" ht="12.75">
      <c r="A39" s="25" t="s">
        <v>243</v>
      </c>
      <c r="C39" s="30">
        <v>15</v>
      </c>
      <c r="D39" s="30">
        <v>15</v>
      </c>
      <c r="E39" s="30">
        <v>15</v>
      </c>
      <c r="F39" s="30">
        <v>15</v>
      </c>
    </row>
    <row r="40" spans="1:7" ht="12.75">
      <c r="A40" s="25" t="s">
        <v>244</v>
      </c>
      <c r="C40" s="30">
        <v>0</v>
      </c>
      <c r="D40" s="30">
        <v>2</v>
      </c>
      <c r="E40" s="30">
        <v>2</v>
      </c>
      <c r="F40" s="30">
        <v>2</v>
      </c>
      <c r="G40" s="53"/>
    </row>
    <row r="41" spans="1:7" ht="12.75">
      <c r="A41" s="25" t="s">
        <v>245</v>
      </c>
      <c r="C41" s="30">
        <v>0</v>
      </c>
      <c r="D41" s="30">
        <v>1</v>
      </c>
      <c r="E41" s="30">
        <v>0</v>
      </c>
      <c r="F41" s="25">
        <v>0</v>
      </c>
      <c r="G41" s="53">
        <v>26</v>
      </c>
    </row>
    <row r="42" spans="3:7" ht="12.75">
      <c r="C42" s="87">
        <v>15</v>
      </c>
      <c r="D42" s="87">
        <v>18</v>
      </c>
      <c r="E42" s="87">
        <v>17</v>
      </c>
      <c r="F42" s="87">
        <v>17</v>
      </c>
      <c r="G42" s="53"/>
    </row>
    <row r="43" spans="1:7" ht="12.75">
      <c r="A43" s="37"/>
      <c r="C43" s="37"/>
      <c r="D43" s="39"/>
      <c r="E43" s="39"/>
      <c r="F43" s="39"/>
      <c r="G43" s="53"/>
    </row>
    <row r="44" spans="1:8" ht="12.75">
      <c r="A44" s="25" t="s">
        <v>248</v>
      </c>
      <c r="C44" s="97">
        <f>C34</f>
        <v>0</v>
      </c>
      <c r="D44" s="97">
        <f>D34+1</f>
        <v>10</v>
      </c>
      <c r="E44" s="97">
        <f>E34+1</f>
        <v>13</v>
      </c>
      <c r="F44" s="97">
        <f>F34+1</f>
        <v>17</v>
      </c>
      <c r="G44" s="53">
        <v>11</v>
      </c>
      <c r="H44" s="119" t="s">
        <v>339</v>
      </c>
    </row>
    <row r="45" spans="1:7" ht="12.75">
      <c r="A45" s="37"/>
      <c r="C45" s="37"/>
      <c r="D45" s="39"/>
      <c r="E45" s="39"/>
      <c r="F45" s="39"/>
      <c r="G45" s="53"/>
    </row>
    <row r="46" spans="1:7" ht="12.75">
      <c r="A46" s="24" t="s">
        <v>165</v>
      </c>
      <c r="C46" s="40"/>
      <c r="D46" s="27"/>
      <c r="E46" s="27"/>
      <c r="F46" s="27"/>
      <c r="G46" s="53"/>
    </row>
    <row r="47" spans="1:7" ht="12.75">
      <c r="A47" s="25" t="s">
        <v>249</v>
      </c>
      <c r="D47" s="30">
        <f>Vehicles!D15</f>
        <v>15008</v>
      </c>
      <c r="E47" s="30">
        <f>Vehicles!E15</f>
        <v>15458</v>
      </c>
      <c r="F47" s="30">
        <f>Vehicles!F15</f>
        <v>15922</v>
      </c>
      <c r="G47" s="53">
        <v>17</v>
      </c>
    </row>
    <row r="48" spans="1:7" ht="12.75">
      <c r="A48" s="25" t="s">
        <v>250</v>
      </c>
      <c r="D48" s="30">
        <f>Vehicles!D16</f>
        <v>1035</v>
      </c>
      <c r="E48" s="30">
        <f>Vehicles!E16</f>
        <v>1066</v>
      </c>
      <c r="F48" s="30">
        <f>Vehicles!F16</f>
        <v>1098</v>
      </c>
      <c r="G48" s="53">
        <v>17</v>
      </c>
    </row>
    <row r="49" spans="1:7" ht="12.75">
      <c r="A49" s="25" t="s">
        <v>251</v>
      </c>
      <c r="D49" s="30">
        <v>72000</v>
      </c>
      <c r="E49" s="30">
        <f>D49</f>
        <v>72000</v>
      </c>
      <c r="F49" s="30">
        <f>E49</f>
        <v>72000</v>
      </c>
      <c r="G49" s="53">
        <v>26</v>
      </c>
    </row>
    <row r="50" spans="4:7" ht="12.75">
      <c r="D50" s="30"/>
      <c r="E50" s="30"/>
      <c r="F50" s="30"/>
      <c r="G50" s="53"/>
    </row>
    <row r="51" spans="4:7" ht="12.75">
      <c r="D51" s="29" t="s">
        <v>46</v>
      </c>
      <c r="E51" s="29" t="s">
        <v>46</v>
      </c>
      <c r="F51" s="29" t="s">
        <v>46</v>
      </c>
      <c r="G51" s="53"/>
    </row>
    <row r="52" spans="1:7" ht="12.75">
      <c r="A52" s="25" t="s">
        <v>252</v>
      </c>
      <c r="D52" s="30">
        <f>17*D47</f>
        <v>255136</v>
      </c>
      <c r="E52" s="30">
        <f>E37*E47</f>
        <v>262786</v>
      </c>
      <c r="F52" s="30">
        <f>F37*F47</f>
        <v>270674</v>
      </c>
      <c r="G52" s="53"/>
    </row>
    <row r="53" spans="1:7" ht="12.75">
      <c r="A53" s="25" t="s">
        <v>328</v>
      </c>
      <c r="D53" s="30">
        <f>D44*D48</f>
        <v>10350</v>
      </c>
      <c r="E53" s="30">
        <f>E44*E48</f>
        <v>13858</v>
      </c>
      <c r="F53" s="30">
        <f>F44*F48</f>
        <v>18666</v>
      </c>
      <c r="G53" s="53"/>
    </row>
    <row r="54" spans="1:7" ht="12.75">
      <c r="A54" s="25" t="s">
        <v>253</v>
      </c>
      <c r="C54" s="40"/>
      <c r="D54" s="30">
        <f>D41*D49</f>
        <v>72000</v>
      </c>
      <c r="E54" s="30">
        <f>E41*E49</f>
        <v>0</v>
      </c>
      <c r="F54" s="30">
        <f>F41*F49</f>
        <v>0</v>
      </c>
      <c r="G54" s="53"/>
    </row>
    <row r="55" spans="1:7" ht="12.75">
      <c r="A55" s="25" t="s">
        <v>254</v>
      </c>
      <c r="D55" s="31">
        <f>D52+D53+D54</f>
        <v>337486</v>
      </c>
      <c r="E55" s="31">
        <f>E52+E53+E54</f>
        <v>276644</v>
      </c>
      <c r="F55" s="31">
        <f>F52+F53+F54</f>
        <v>289340</v>
      </c>
      <c r="G55" s="53"/>
    </row>
    <row r="56" spans="1:7" ht="12.75">
      <c r="A56" s="25" t="s">
        <v>255</v>
      </c>
      <c r="D56" s="30">
        <f>'Budget Schedule'!C23</f>
        <v>225113</v>
      </c>
      <c r="E56" s="30">
        <f>'Budget Schedule'!D23</f>
        <v>231866</v>
      </c>
      <c r="F56" s="30">
        <f>'Budget Schedule'!E23</f>
        <v>238822</v>
      </c>
      <c r="G56" s="53">
        <v>8</v>
      </c>
    </row>
    <row r="57" spans="1:8" ht="12.75">
      <c r="A57" s="24" t="s">
        <v>171</v>
      </c>
      <c r="C57" s="24"/>
      <c r="D57" s="95">
        <f>D55-D56</f>
        <v>112373</v>
      </c>
      <c r="E57" s="95">
        <f>E55-E56</f>
        <v>44778</v>
      </c>
      <c r="F57" s="95">
        <f>F55-F56</f>
        <v>50518</v>
      </c>
      <c r="G57" s="53"/>
      <c r="H57" s="119" t="s">
        <v>339</v>
      </c>
    </row>
    <row r="58" ht="12.75">
      <c r="G58" s="53"/>
    </row>
    <row r="59" ht="12.75">
      <c r="G59" s="53"/>
    </row>
    <row r="60" ht="12.75">
      <c r="G60" s="53"/>
    </row>
  </sheetData>
  <mergeCells count="1">
    <mergeCell ref="A1:G1"/>
  </mergeCells>
  <printOptions horizontalCentered="1"/>
  <pageMargins left="0.7480314960629921" right="0.24" top="0.52" bottom="0.57" header="0.5118110236220472" footer="0.4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56">
      <selection activeCell="A21" sqref="A21:H82"/>
    </sheetView>
  </sheetViews>
  <sheetFormatPr defaultColWidth="9.140625" defaultRowHeight="12.75"/>
  <cols>
    <col min="1" max="1" width="29.00390625" style="25" customWidth="1"/>
    <col min="2" max="2" width="6.7109375" style="25" bestFit="1" customWidth="1"/>
    <col min="3" max="3" width="10.7109375" style="25" customWidth="1"/>
    <col min="4" max="7" width="9.7109375" style="25" customWidth="1"/>
    <col min="8" max="16384" width="9.140625" style="25" customWidth="1"/>
  </cols>
  <sheetData>
    <row r="1" spans="1:7" ht="15.75">
      <c r="A1" s="111" t="s">
        <v>237</v>
      </c>
      <c r="B1" s="111"/>
      <c r="C1" s="111"/>
      <c r="D1" s="111"/>
      <c r="E1" s="111"/>
      <c r="F1" s="111"/>
      <c r="G1" s="111"/>
    </row>
    <row r="2" spans="1:7" ht="12.75">
      <c r="A2" s="79"/>
      <c r="B2" s="80"/>
      <c r="C2" s="80"/>
      <c r="D2" s="80"/>
      <c r="E2" s="80"/>
      <c r="F2" s="80"/>
      <c r="G2" s="81"/>
    </row>
    <row r="3" spans="1:7" ht="18.75">
      <c r="A3" s="82" t="s">
        <v>236</v>
      </c>
      <c r="B3" s="80"/>
      <c r="C3" s="80"/>
      <c r="D3" s="80"/>
      <c r="E3" s="80"/>
      <c r="F3" s="81"/>
      <c r="G3" s="81"/>
    </row>
    <row r="4" spans="1:7" ht="12.75">
      <c r="A4" s="80"/>
      <c r="B4" s="80"/>
      <c r="C4" s="80"/>
      <c r="D4" s="80"/>
      <c r="E4" s="80"/>
      <c r="F4" s="81"/>
      <c r="G4" s="81"/>
    </row>
    <row r="5" spans="6:7" ht="12.75">
      <c r="F5" s="83"/>
      <c r="G5" s="83"/>
    </row>
    <row r="6" spans="6:7" ht="12.75">
      <c r="F6" s="83"/>
      <c r="G6" s="74" t="s">
        <v>189</v>
      </c>
    </row>
    <row r="7" spans="3:6" ht="12.75">
      <c r="C7" s="68"/>
      <c r="D7" s="69" t="s">
        <v>8</v>
      </c>
      <c r="E7" s="69" t="s">
        <v>9</v>
      </c>
      <c r="F7" s="69" t="s">
        <v>10</v>
      </c>
    </row>
    <row r="8" spans="1:6" ht="12.75">
      <c r="A8" s="105" t="s">
        <v>257</v>
      </c>
      <c r="F8" s="54"/>
    </row>
    <row r="9" spans="1:6" ht="6" customHeight="1">
      <c r="A9" s="24"/>
      <c r="F9" s="54"/>
    </row>
    <row r="10" spans="1:7" ht="12.75">
      <c r="A10" s="24" t="s">
        <v>111</v>
      </c>
      <c r="E10" s="27"/>
      <c r="F10" s="27"/>
      <c r="G10" s="74"/>
    </row>
    <row r="11" spans="1:7" ht="12.75">
      <c r="A11" s="24"/>
      <c r="E11" s="27"/>
      <c r="F11" s="27"/>
      <c r="G11" s="74"/>
    </row>
    <row r="12" spans="1:7" ht="12.75">
      <c r="A12" s="25" t="s">
        <v>258</v>
      </c>
      <c r="C12" s="24"/>
      <c r="D12" s="30">
        <f>'Appendix B1'!D14</f>
        <v>13500</v>
      </c>
      <c r="E12" s="30">
        <f>'Appendix B1'!E14</f>
        <v>5400</v>
      </c>
      <c r="F12" s="30">
        <f>'Appendix B1'!F14</f>
        <v>0</v>
      </c>
      <c r="G12" s="53" t="s">
        <v>319</v>
      </c>
    </row>
    <row r="13" spans="1:7" ht="12.75">
      <c r="A13" s="25" t="s">
        <v>259</v>
      </c>
      <c r="C13" s="24"/>
      <c r="D13" s="30">
        <f>D12*1.5</f>
        <v>20250</v>
      </c>
      <c r="E13" s="30">
        <f>E12*1.5</f>
        <v>8100</v>
      </c>
      <c r="F13" s="30">
        <f>F12*1.5</f>
        <v>0</v>
      </c>
      <c r="G13" s="53">
        <v>26</v>
      </c>
    </row>
    <row r="14" spans="1:7" ht="12.75">
      <c r="A14" s="25" t="s">
        <v>260</v>
      </c>
      <c r="C14" s="24"/>
      <c r="D14" s="30">
        <f>52*D13</f>
        <v>1053000</v>
      </c>
      <c r="E14" s="30">
        <f>52*E13</f>
        <v>421200</v>
      </c>
      <c r="F14" s="30">
        <f>52*F13</f>
        <v>0</v>
      </c>
      <c r="G14" s="53">
        <v>26</v>
      </c>
    </row>
    <row r="15" spans="1:7" ht="12.75">
      <c r="A15" s="25" t="s">
        <v>261</v>
      </c>
      <c r="C15" s="24"/>
      <c r="D15" s="98">
        <v>5.25</v>
      </c>
      <c r="E15" s="98">
        <v>6.5</v>
      </c>
      <c r="F15" s="98">
        <v>6.75</v>
      </c>
      <c r="G15" s="53">
        <v>5</v>
      </c>
    </row>
    <row r="16" spans="3:7" ht="6" customHeight="1">
      <c r="C16" s="24"/>
      <c r="D16" s="42"/>
      <c r="E16" s="42"/>
      <c r="F16" s="42"/>
      <c r="G16" s="53"/>
    </row>
    <row r="17" spans="3:7" ht="12.75">
      <c r="C17" s="24"/>
      <c r="D17" s="43" t="s">
        <v>46</v>
      </c>
      <c r="E17" s="43" t="s">
        <v>46</v>
      </c>
      <c r="F17" s="43" t="s">
        <v>46</v>
      </c>
      <c r="G17" s="53"/>
    </row>
    <row r="18" spans="1:7" ht="12.75">
      <c r="A18" s="25" t="s">
        <v>262</v>
      </c>
      <c r="D18" s="30">
        <f>ROUND(D14*(D15/100),0)</f>
        <v>55283</v>
      </c>
      <c r="E18" s="30">
        <f>ROUND(E14*(E15/100),0)</f>
        <v>27378</v>
      </c>
      <c r="F18" s="30">
        <f>ROUND(F14*(F15/100),0)</f>
        <v>0</v>
      </c>
      <c r="G18" s="53"/>
    </row>
    <row r="19" spans="1:7" ht="12.75">
      <c r="A19" s="25" t="s">
        <v>255</v>
      </c>
      <c r="D19" s="30">
        <f>'Budget Schedule'!C26</f>
        <v>108986</v>
      </c>
      <c r="E19" s="30">
        <f>'Budget Schedule'!D26</f>
        <v>112256</v>
      </c>
      <c r="F19" s="30">
        <f>'Budget Schedule'!E26</f>
        <v>115624</v>
      </c>
      <c r="G19" s="53">
        <v>8</v>
      </c>
    </row>
    <row r="20" spans="1:8" ht="12.75">
      <c r="A20" s="24" t="s">
        <v>263</v>
      </c>
      <c r="C20" s="24"/>
      <c r="D20" s="95">
        <f>D18-D19</f>
        <v>-53703</v>
      </c>
      <c r="E20" s="95">
        <f>E18-E19</f>
        <v>-84878</v>
      </c>
      <c r="F20" s="95">
        <f>F18-F19</f>
        <v>-115624</v>
      </c>
      <c r="G20" s="53"/>
      <c r="H20" s="119" t="s">
        <v>340</v>
      </c>
    </row>
    <row r="21" spans="1:7" ht="15.75">
      <c r="A21" s="111" t="s">
        <v>237</v>
      </c>
      <c r="B21" s="111"/>
      <c r="C21" s="111"/>
      <c r="D21" s="111"/>
      <c r="E21" s="111"/>
      <c r="F21" s="111"/>
      <c r="G21" s="111"/>
    </row>
    <row r="22" spans="1:7" ht="12.75">
      <c r="A22" s="79"/>
      <c r="B22" s="80"/>
      <c r="C22" s="80"/>
      <c r="D22" s="80"/>
      <c r="E22" s="80"/>
      <c r="F22" s="80"/>
      <c r="G22" s="81"/>
    </row>
    <row r="23" spans="1:7" ht="18.75">
      <c r="A23" s="82" t="s">
        <v>236</v>
      </c>
      <c r="B23" s="80"/>
      <c r="C23" s="80"/>
      <c r="D23" s="80"/>
      <c r="E23" s="80"/>
      <c r="F23" s="81"/>
      <c r="G23" s="81"/>
    </row>
    <row r="24" spans="1:7" ht="12.75">
      <c r="A24" s="80"/>
      <c r="B24" s="80"/>
      <c r="C24" s="80"/>
      <c r="D24" s="80"/>
      <c r="E24" s="80"/>
      <c r="F24" s="81"/>
      <c r="G24" s="81"/>
    </row>
    <row r="25" spans="6:7" ht="12.75">
      <c r="F25" s="83"/>
      <c r="G25" s="83"/>
    </row>
    <row r="26" spans="6:7" ht="12.75">
      <c r="F26" s="83"/>
      <c r="G26" s="74" t="s">
        <v>189</v>
      </c>
    </row>
    <row r="27" spans="3:6" ht="12.75">
      <c r="C27" s="68"/>
      <c r="D27" s="69" t="s">
        <v>8</v>
      </c>
      <c r="E27" s="69" t="s">
        <v>9</v>
      </c>
      <c r="F27" s="69" t="s">
        <v>10</v>
      </c>
    </row>
    <row r="28" ht="12.75">
      <c r="A28" s="94" t="s">
        <v>264</v>
      </c>
    </row>
    <row r="29" ht="10.5" customHeight="1">
      <c r="A29" s="24"/>
    </row>
    <row r="30" ht="12.75">
      <c r="A30" s="24" t="s">
        <v>200</v>
      </c>
    </row>
    <row r="31" spans="1:7" ht="6" customHeight="1">
      <c r="A31" s="24"/>
      <c r="D31" s="27"/>
      <c r="E31" s="27"/>
      <c r="F31" s="27"/>
      <c r="G31" s="57"/>
    </row>
    <row r="32" spans="1:7" ht="12.75">
      <c r="A32" s="25" t="s">
        <v>265</v>
      </c>
      <c r="D32" s="44">
        <f>'Appendix B2'!D40</f>
        <v>2</v>
      </c>
      <c r="E32" s="44">
        <v>2</v>
      </c>
      <c r="F32" s="44">
        <v>2</v>
      </c>
      <c r="G32" s="53" t="s">
        <v>320</v>
      </c>
    </row>
    <row r="33" spans="4:7" ht="12.75">
      <c r="D33" s="44"/>
      <c r="E33" s="44"/>
      <c r="F33" s="44"/>
      <c r="G33" s="53"/>
    </row>
    <row r="34" spans="1:7" ht="12.75">
      <c r="A34" s="25" t="s">
        <v>266</v>
      </c>
      <c r="D34" s="29"/>
      <c r="E34" s="29"/>
      <c r="F34" s="29"/>
      <c r="G34" s="53"/>
    </row>
    <row r="35" spans="1:7" ht="12.75">
      <c r="A35" s="25" t="s">
        <v>267</v>
      </c>
      <c r="D35" s="75">
        <f>Vehicles!I86</f>
        <v>11250</v>
      </c>
      <c r="E35" s="75">
        <f>Vehicles!M86</f>
        <v>11250</v>
      </c>
      <c r="F35" s="75">
        <f>Vehicles!Q86</f>
        <v>11250</v>
      </c>
      <c r="G35" s="53">
        <v>25</v>
      </c>
    </row>
    <row r="36" spans="1:7" ht="12.75">
      <c r="A36" s="25" t="s">
        <v>268</v>
      </c>
      <c r="D36" s="75">
        <f>Vehicles!J86</f>
        <v>3063</v>
      </c>
      <c r="E36" s="75">
        <f>Vehicles!N86</f>
        <v>2500</v>
      </c>
      <c r="F36" s="75">
        <f>Vehicles!R86</f>
        <v>1938</v>
      </c>
      <c r="G36" s="53">
        <v>25</v>
      </c>
    </row>
    <row r="37" spans="4:7" ht="12.75">
      <c r="D37" s="26"/>
      <c r="E37" s="26"/>
      <c r="F37" s="26"/>
      <c r="G37" s="53"/>
    </row>
    <row r="38" spans="1:7" ht="12.75">
      <c r="A38" s="25" t="s">
        <v>269</v>
      </c>
      <c r="D38" s="29" t="s">
        <v>46</v>
      </c>
      <c r="E38" s="29" t="s">
        <v>46</v>
      </c>
      <c r="F38" s="29" t="s">
        <v>46</v>
      </c>
      <c r="G38" s="53"/>
    </row>
    <row r="39" spans="1:7" ht="12.75">
      <c r="A39" s="25" t="s">
        <v>270</v>
      </c>
      <c r="B39" s="24"/>
      <c r="C39" s="24"/>
      <c r="D39" s="107">
        <f>D32*D35</f>
        <v>22500</v>
      </c>
      <c r="E39" s="107">
        <f>D32*E35</f>
        <v>22500</v>
      </c>
      <c r="F39" s="107">
        <f>D32*F35</f>
        <v>22500</v>
      </c>
      <c r="G39" s="53"/>
    </row>
    <row r="40" spans="1:8" ht="12.75">
      <c r="A40" s="25" t="s">
        <v>271</v>
      </c>
      <c r="B40" s="24"/>
      <c r="C40" s="24"/>
      <c r="D40" s="108">
        <f>D32*D36</f>
        <v>6126</v>
      </c>
      <c r="E40" s="108">
        <f>D32*E36</f>
        <v>5000</v>
      </c>
      <c r="F40" s="108">
        <f>D32*F36</f>
        <v>3876</v>
      </c>
      <c r="G40" s="53"/>
      <c r="H40" s="119" t="s">
        <v>340</v>
      </c>
    </row>
    <row r="41" spans="4:7" ht="6" customHeight="1">
      <c r="D41" s="27"/>
      <c r="E41" s="27"/>
      <c r="F41" s="27"/>
      <c r="G41" s="53"/>
    </row>
    <row r="42" spans="1:7" ht="12.75">
      <c r="A42" s="24" t="s">
        <v>159</v>
      </c>
      <c r="D42" s="29" t="s">
        <v>329</v>
      </c>
      <c r="E42" s="29" t="s">
        <v>330</v>
      </c>
      <c r="F42" s="29" t="s">
        <v>331</v>
      </c>
      <c r="G42" s="53"/>
    </row>
    <row r="43" spans="1:7" ht="6" customHeight="1">
      <c r="A43" s="24"/>
      <c r="D43" s="29"/>
      <c r="E43" s="29"/>
      <c r="F43" s="29"/>
      <c r="G43" s="53"/>
    </row>
    <row r="44" spans="1:7" ht="12.75">
      <c r="A44" s="25" t="s">
        <v>272</v>
      </c>
      <c r="D44" s="75">
        <f>Vehicles!D27</f>
        <v>15950</v>
      </c>
      <c r="E44" s="75">
        <f>D44</f>
        <v>15950</v>
      </c>
      <c r="F44" s="75">
        <f>E44</f>
        <v>15950</v>
      </c>
      <c r="G44" s="53">
        <v>26</v>
      </c>
    </row>
    <row r="45" spans="1:7" ht="12.75">
      <c r="A45" s="25" t="s">
        <v>273</v>
      </c>
      <c r="D45" s="75">
        <f>Vehicles!A102</f>
        <v>2000</v>
      </c>
      <c r="E45" s="75">
        <f>D45</f>
        <v>2000</v>
      </c>
      <c r="F45" s="75">
        <f>E45</f>
        <v>2000</v>
      </c>
      <c r="G45" s="53">
        <v>26</v>
      </c>
    </row>
    <row r="46" spans="1:7" ht="12.75">
      <c r="A46" s="47" t="s">
        <v>274</v>
      </c>
      <c r="D46" s="76" t="s">
        <v>201</v>
      </c>
      <c r="E46" s="76" t="s">
        <v>201</v>
      </c>
      <c r="F46" s="76" t="s">
        <v>201</v>
      </c>
      <c r="G46" s="53">
        <v>26</v>
      </c>
    </row>
    <row r="47" spans="1:8" ht="12.75">
      <c r="A47" s="25" t="s">
        <v>278</v>
      </c>
      <c r="D47" s="109">
        <f>ROUND((D44-D45)/10,0)</f>
        <v>1395</v>
      </c>
      <c r="E47" s="109">
        <f>D47</f>
        <v>1395</v>
      </c>
      <c r="F47" s="109">
        <f>E47</f>
        <v>1395</v>
      </c>
      <c r="G47" s="53" t="s">
        <v>321</v>
      </c>
      <c r="H47" s="119" t="s">
        <v>340</v>
      </c>
    </row>
    <row r="48" spans="1:7" ht="12.75">
      <c r="A48" s="24"/>
      <c r="D48" s="29"/>
      <c r="E48" s="29"/>
      <c r="F48" s="29"/>
      <c r="G48" s="53"/>
    </row>
    <row r="49" spans="1:7" ht="12.75">
      <c r="A49" s="25" t="s">
        <v>272</v>
      </c>
      <c r="D49" s="75">
        <f>Vehicles!D34</f>
        <v>15950</v>
      </c>
      <c r="E49" s="75">
        <f>D49</f>
        <v>15950</v>
      </c>
      <c r="F49" s="75">
        <f>E49</f>
        <v>15950</v>
      </c>
      <c r="G49" s="53">
        <v>26</v>
      </c>
    </row>
    <row r="50" spans="1:7" ht="12.75">
      <c r="A50" s="25" t="s">
        <v>273</v>
      </c>
      <c r="D50" s="75">
        <f>Vehicles!A102</f>
        <v>2000</v>
      </c>
      <c r="E50" s="75">
        <f>D50</f>
        <v>2000</v>
      </c>
      <c r="F50" s="75">
        <f>E50</f>
        <v>2000</v>
      </c>
      <c r="G50" s="53">
        <v>26</v>
      </c>
    </row>
    <row r="51" spans="1:7" ht="12.75">
      <c r="A51" s="25" t="s">
        <v>275</v>
      </c>
      <c r="D51" s="53">
        <v>1</v>
      </c>
      <c r="E51" s="53">
        <v>2</v>
      </c>
      <c r="F51" s="53">
        <v>3</v>
      </c>
      <c r="G51" s="53"/>
    </row>
    <row r="52" spans="1:7" ht="12.75">
      <c r="A52" s="47" t="s">
        <v>274</v>
      </c>
      <c r="D52" s="76" t="s">
        <v>201</v>
      </c>
      <c r="E52" s="76" t="s">
        <v>201</v>
      </c>
      <c r="F52" s="76" t="s">
        <v>201</v>
      </c>
      <c r="G52" s="53">
        <v>26</v>
      </c>
    </row>
    <row r="53" spans="1:7" ht="12.75">
      <c r="A53" s="47" t="s">
        <v>276</v>
      </c>
      <c r="D53" s="75">
        <f>ROUND(D49-((D49-D50)*D51)/10,0)</f>
        <v>14555</v>
      </c>
      <c r="E53" s="75">
        <f>ROUND(E49-((E49-E50)*E51)/10,0)</f>
        <v>13160</v>
      </c>
      <c r="F53" s="75">
        <f>ROUND(F49-((F49-F50)*F51)/10,0)</f>
        <v>11765</v>
      </c>
      <c r="G53" s="53"/>
    </row>
    <row r="54" spans="1:7" ht="12.75">
      <c r="A54" s="47" t="s">
        <v>277</v>
      </c>
      <c r="D54" s="28">
        <v>0.05</v>
      </c>
      <c r="E54" s="28">
        <v>0.05</v>
      </c>
      <c r="F54" s="28">
        <v>0.05</v>
      </c>
      <c r="G54" s="53" t="s">
        <v>321</v>
      </c>
    </row>
    <row r="55" spans="1:8" ht="12.75">
      <c r="A55" s="25" t="s">
        <v>279</v>
      </c>
      <c r="D55" s="109">
        <f>ROUND((D44-D47)*D54,0)</f>
        <v>728</v>
      </c>
      <c r="E55" s="109">
        <f>ROUND((D44-(D47*2))*D54,0)</f>
        <v>658</v>
      </c>
      <c r="F55" s="109">
        <f>ROUND((D44-(D47*3))*D54,0)</f>
        <v>588</v>
      </c>
      <c r="G55" s="53"/>
      <c r="H55" s="119" t="s">
        <v>339</v>
      </c>
    </row>
    <row r="56" spans="4:7" ht="12.75">
      <c r="D56" s="110"/>
      <c r="E56" s="110"/>
      <c r="F56" s="110"/>
      <c r="G56" s="53"/>
    </row>
    <row r="57" spans="4:7" ht="12.75">
      <c r="D57" s="69" t="s">
        <v>8</v>
      </c>
      <c r="E57" s="69" t="s">
        <v>9</v>
      </c>
      <c r="F57" s="69" t="s">
        <v>10</v>
      </c>
      <c r="G57" s="53"/>
    </row>
    <row r="58" spans="4:7" ht="7.5" customHeight="1">
      <c r="D58" s="69"/>
      <c r="E58" s="69"/>
      <c r="F58" s="69"/>
      <c r="G58" s="53"/>
    </row>
    <row r="59" spans="1:7" ht="12.75">
      <c r="A59" s="25" t="s">
        <v>280</v>
      </c>
      <c r="D59" s="32">
        <f>'Appendix B2'!D44</f>
        <v>10</v>
      </c>
      <c r="E59" s="32">
        <f>'Appendix B2'!E44</f>
        <v>13</v>
      </c>
      <c r="F59" s="32">
        <f>'Appendix B2'!F44</f>
        <v>17</v>
      </c>
      <c r="G59" s="53" t="s">
        <v>320</v>
      </c>
    </row>
    <row r="60" spans="1:7" ht="12.75">
      <c r="A60" s="25" t="s">
        <v>281</v>
      </c>
      <c r="D60" s="32">
        <f>D59</f>
        <v>10</v>
      </c>
      <c r="E60" s="32">
        <f>E59-D59</f>
        <v>3</v>
      </c>
      <c r="F60" s="32">
        <f>F59-E59</f>
        <v>4</v>
      </c>
      <c r="G60" s="53"/>
    </row>
    <row r="61" spans="4:7" ht="6" customHeight="1">
      <c r="D61" s="32"/>
      <c r="E61" s="32"/>
      <c r="F61" s="32"/>
      <c r="G61" s="53"/>
    </row>
    <row r="62" spans="1:7" ht="12.75">
      <c r="A62" s="25" t="s">
        <v>282</v>
      </c>
      <c r="D62" s="29" t="s">
        <v>46</v>
      </c>
      <c r="E62" s="29" t="s">
        <v>46</v>
      </c>
      <c r="F62" s="29" t="s">
        <v>46</v>
      </c>
      <c r="G62" s="53"/>
    </row>
    <row r="63" spans="1:7" ht="12.75">
      <c r="A63" s="25" t="s">
        <v>110</v>
      </c>
      <c r="B63" s="25" t="s">
        <v>283</v>
      </c>
      <c r="D63" s="30">
        <f>D60*D47</f>
        <v>13950</v>
      </c>
      <c r="E63" s="30">
        <f>D60*E47</f>
        <v>13950</v>
      </c>
      <c r="F63" s="30">
        <f>D60*F47</f>
        <v>13950</v>
      </c>
      <c r="G63" s="53"/>
    </row>
    <row r="64" spans="2:7" ht="12.75">
      <c r="B64" s="25" t="s">
        <v>284</v>
      </c>
      <c r="D64" s="30">
        <v>0</v>
      </c>
      <c r="E64" s="30">
        <f>E60*E47</f>
        <v>4185</v>
      </c>
      <c r="F64" s="30">
        <f>E60*E47</f>
        <v>4185</v>
      </c>
      <c r="G64" s="53"/>
    </row>
    <row r="65" spans="2:7" ht="12.75">
      <c r="B65" s="25" t="s">
        <v>285</v>
      </c>
      <c r="D65" s="30">
        <v>0</v>
      </c>
      <c r="E65" s="30">
        <v>0</v>
      </c>
      <c r="F65" s="30">
        <f>F60*F47</f>
        <v>5580</v>
      </c>
      <c r="G65" s="53"/>
    </row>
    <row r="66" spans="1:7" ht="12.75">
      <c r="A66" s="24"/>
      <c r="B66" s="24"/>
      <c r="C66" s="24"/>
      <c r="D66" s="95">
        <f>SUM(D63:D65)</f>
        <v>13950</v>
      </c>
      <c r="E66" s="95">
        <f>SUM(E63:E65)</f>
        <v>18135</v>
      </c>
      <c r="F66" s="95">
        <f>SUM(F63:F65)</f>
        <v>23715</v>
      </c>
      <c r="G66" s="53"/>
    </row>
    <row r="67" spans="4:7" ht="6" customHeight="1">
      <c r="D67" s="32"/>
      <c r="E67" s="32"/>
      <c r="F67" s="32"/>
      <c r="G67" s="53"/>
    </row>
    <row r="68" spans="1:7" ht="12.75">
      <c r="A68" s="25" t="s">
        <v>73</v>
      </c>
      <c r="B68" s="25" t="s">
        <v>283</v>
      </c>
      <c r="D68" s="30">
        <f>D60*D55</f>
        <v>7280</v>
      </c>
      <c r="E68" s="30">
        <f>D60*E55</f>
        <v>6580</v>
      </c>
      <c r="F68" s="30">
        <f>D60*F55</f>
        <v>5880</v>
      </c>
      <c r="G68" s="53"/>
    </row>
    <row r="69" spans="2:7" ht="12.75">
      <c r="B69" s="25" t="s">
        <v>284</v>
      </c>
      <c r="D69" s="30">
        <v>0</v>
      </c>
      <c r="E69" s="30">
        <f>E60*D55</f>
        <v>2184</v>
      </c>
      <c r="F69" s="30">
        <f>E60*E55</f>
        <v>1974</v>
      </c>
      <c r="G69" s="53"/>
    </row>
    <row r="70" spans="2:7" ht="12.75">
      <c r="B70" s="25" t="s">
        <v>285</v>
      </c>
      <c r="D70" s="30">
        <v>0</v>
      </c>
      <c r="E70" s="30">
        <v>0</v>
      </c>
      <c r="F70" s="30">
        <f>F60*D55</f>
        <v>2912</v>
      </c>
      <c r="G70" s="53"/>
    </row>
    <row r="71" spans="1:8" ht="12.75">
      <c r="A71" s="24"/>
      <c r="B71" s="24"/>
      <c r="C71" s="24"/>
      <c r="D71" s="95">
        <f>SUM(D68:D70)</f>
        <v>7280</v>
      </c>
      <c r="E71" s="95">
        <f>SUM(E68:E70)</f>
        <v>8764</v>
      </c>
      <c r="F71" s="95">
        <f>SUM(F68:F70)</f>
        <v>10766</v>
      </c>
      <c r="G71" s="53"/>
      <c r="H71" s="119" t="s">
        <v>339</v>
      </c>
    </row>
    <row r="72" spans="4:7" ht="6" customHeight="1">
      <c r="D72" s="32"/>
      <c r="E72" s="32"/>
      <c r="F72" s="32"/>
      <c r="G72" s="53"/>
    </row>
    <row r="73" spans="1:6" ht="12.75">
      <c r="A73" s="24" t="s">
        <v>202</v>
      </c>
      <c r="D73" s="29" t="s">
        <v>46</v>
      </c>
      <c r="E73" s="29" t="s">
        <v>46</v>
      </c>
      <c r="F73" s="29" t="s">
        <v>46</v>
      </c>
    </row>
    <row r="74" spans="1:7" ht="12.75">
      <c r="A74" s="25" t="s">
        <v>286</v>
      </c>
      <c r="D74" s="30">
        <f>+D39</f>
        <v>22500</v>
      </c>
      <c r="E74" s="30">
        <f>+E39</f>
        <v>22500</v>
      </c>
      <c r="F74" s="30">
        <f>+F39</f>
        <v>22500</v>
      </c>
      <c r="G74" s="53"/>
    </row>
    <row r="75" spans="1:7" ht="12.75">
      <c r="A75" s="25" t="s">
        <v>287</v>
      </c>
      <c r="D75" s="30">
        <f>+D66</f>
        <v>13950</v>
      </c>
      <c r="E75" s="30">
        <f>+E66</f>
        <v>18135</v>
      </c>
      <c r="F75" s="30">
        <f>+F66</f>
        <v>23715</v>
      </c>
      <c r="G75" s="53"/>
    </row>
    <row r="76" spans="1:7" ht="12.75">
      <c r="A76" s="25" t="s">
        <v>288</v>
      </c>
      <c r="D76" s="30">
        <v>35100</v>
      </c>
      <c r="E76" s="30">
        <v>56160</v>
      </c>
      <c r="F76" s="30">
        <v>70200</v>
      </c>
      <c r="G76" s="53">
        <v>25</v>
      </c>
    </row>
    <row r="77" spans="4:7" ht="13.5" thickBot="1">
      <c r="D77" s="55">
        <f>SUM(D74:D76)</f>
        <v>71550</v>
      </c>
      <c r="E77" s="55">
        <f>SUM(E74:E76)</f>
        <v>96795</v>
      </c>
      <c r="F77" s="55">
        <f>SUM(F74:F76)</f>
        <v>116415</v>
      </c>
      <c r="G77" s="53"/>
    </row>
    <row r="78" spans="1:7" ht="13.5" thickTop="1">
      <c r="A78" s="24" t="s">
        <v>203</v>
      </c>
      <c r="D78" s="41"/>
      <c r="E78" s="41"/>
      <c r="F78" s="41"/>
      <c r="G78" s="53"/>
    </row>
    <row r="79" spans="1:7" ht="12.75">
      <c r="A79" s="25" t="s">
        <v>286</v>
      </c>
      <c r="D79" s="30">
        <f>+D40</f>
        <v>6126</v>
      </c>
      <c r="E79" s="30">
        <f>+E40</f>
        <v>5000</v>
      </c>
      <c r="F79" s="30">
        <f>+F40</f>
        <v>3876</v>
      </c>
      <c r="G79" s="53"/>
    </row>
    <row r="80" spans="1:7" ht="12.75">
      <c r="A80" s="25" t="s">
        <v>287</v>
      </c>
      <c r="D80" s="30">
        <f>+D71</f>
        <v>7280</v>
      </c>
      <c r="E80" s="30">
        <f>+E71</f>
        <v>8764</v>
      </c>
      <c r="F80" s="30">
        <f>+F71</f>
        <v>10766</v>
      </c>
      <c r="G80" s="53"/>
    </row>
    <row r="81" spans="1:7" ht="12.75">
      <c r="A81" s="25" t="s">
        <v>288</v>
      </c>
      <c r="D81" s="30">
        <v>24570</v>
      </c>
      <c r="E81" s="30">
        <v>37557</v>
      </c>
      <c r="F81" s="30">
        <v>44577</v>
      </c>
      <c r="G81" s="53">
        <v>25</v>
      </c>
    </row>
    <row r="82" spans="1:8" ht="13.5" thickBot="1">
      <c r="A82" s="48"/>
      <c r="D82" s="55">
        <f>SUM(D79:D81)</f>
        <v>37976</v>
      </c>
      <c r="E82" s="55">
        <f>SUM(E79:E81)</f>
        <v>51321</v>
      </c>
      <c r="F82" s="55">
        <f>SUM(F79:F81)</f>
        <v>59219</v>
      </c>
      <c r="G82" s="53"/>
      <c r="H82" s="119" t="s">
        <v>340</v>
      </c>
    </row>
    <row r="83" ht="13.5" thickTop="1"/>
  </sheetData>
  <mergeCells count="2">
    <mergeCell ref="A1:G1"/>
    <mergeCell ref="A21:G21"/>
  </mergeCells>
  <printOptions horizontalCentered="1"/>
  <pageMargins left="0.7480314960629921" right="0.22" top="0.51" bottom="0.57" header="0.5118110236220472" footer="0.4"/>
  <pageSetup horizontalDpi="200" verticalDpi="200" orientation="portrait" paperSize="9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61">
      <selection activeCell="A20" sqref="A20:G67"/>
    </sheetView>
  </sheetViews>
  <sheetFormatPr defaultColWidth="9.140625" defaultRowHeight="12.75"/>
  <cols>
    <col min="1" max="1" width="37.421875" style="25" customWidth="1"/>
    <col min="2" max="2" width="8.8515625" style="25" bestFit="1" customWidth="1"/>
    <col min="3" max="3" width="9.7109375" style="25" bestFit="1" customWidth="1"/>
    <col min="4" max="4" width="9.7109375" style="25" customWidth="1"/>
    <col min="5" max="5" width="9.57421875" style="30" customWidth="1"/>
    <col min="6" max="6" width="9.7109375" style="0" customWidth="1"/>
    <col min="7" max="7" width="8.28125" style="30" customWidth="1"/>
    <col min="8" max="8" width="8.28125" style="30" bestFit="1" customWidth="1"/>
    <col min="9" max="16384" width="9.140625" style="25" customWidth="1"/>
  </cols>
  <sheetData>
    <row r="1" spans="1:6" ht="15.75">
      <c r="A1" s="111" t="s">
        <v>305</v>
      </c>
      <c r="B1" s="111"/>
      <c r="C1" s="111"/>
      <c r="D1" s="111"/>
      <c r="E1" s="111"/>
      <c r="F1" s="111"/>
    </row>
    <row r="2" spans="1:6" ht="12.75">
      <c r="A2" s="79"/>
      <c r="B2" s="80"/>
      <c r="C2" s="80"/>
      <c r="D2" s="80"/>
      <c r="E2" s="80"/>
      <c r="F2" s="80"/>
    </row>
    <row r="3" spans="1:6" ht="18.75">
      <c r="A3" s="82" t="s">
        <v>236</v>
      </c>
      <c r="B3" s="80"/>
      <c r="C3" s="80"/>
      <c r="D3" s="80"/>
      <c r="E3" s="80"/>
      <c r="F3" s="81"/>
    </row>
    <row r="4" spans="1:6" ht="12.75">
      <c r="A4" s="80"/>
      <c r="B4" s="80"/>
      <c r="C4" s="80"/>
      <c r="D4" s="80"/>
      <c r="E4" s="80"/>
      <c r="F4" s="81"/>
    </row>
    <row r="5" spans="5:6" ht="12.75">
      <c r="E5" s="25"/>
      <c r="F5" s="83"/>
    </row>
    <row r="6" spans="5:6" ht="12.75">
      <c r="E6" s="83"/>
      <c r="F6" s="74" t="s">
        <v>189</v>
      </c>
    </row>
    <row r="7" spans="2:6" ht="12.75">
      <c r="B7" s="68"/>
      <c r="C7" s="69" t="s">
        <v>8</v>
      </c>
      <c r="D7" s="69" t="s">
        <v>9</v>
      </c>
      <c r="E7" s="69" t="s">
        <v>10</v>
      </c>
      <c r="F7" s="25"/>
    </row>
    <row r="8" spans="1:6" ht="12.75">
      <c r="A8" s="48"/>
      <c r="C8" s="29" t="s">
        <v>46</v>
      </c>
      <c r="D8" s="29" t="s">
        <v>46</v>
      </c>
      <c r="E8" s="29" t="s">
        <v>46</v>
      </c>
      <c r="F8" s="54"/>
    </row>
    <row r="9" spans="1:6" ht="12.75">
      <c r="A9" s="100" t="s">
        <v>300</v>
      </c>
      <c r="C9" s="62"/>
      <c r="D9" s="62"/>
      <c r="E9" s="62"/>
      <c r="F9" s="53"/>
    </row>
    <row r="10" spans="1:6" ht="12.75">
      <c r="A10" s="48"/>
      <c r="C10" s="62"/>
      <c r="D10" s="62"/>
      <c r="E10" s="62"/>
      <c r="F10" s="53"/>
    </row>
    <row r="11" spans="1:6" ht="12.75">
      <c r="A11" s="77" t="s">
        <v>205</v>
      </c>
      <c r="C11" s="29"/>
      <c r="D11" s="29"/>
      <c r="E11" s="29"/>
      <c r="F11" s="54"/>
    </row>
    <row r="12" spans="1:6" ht="12.75">
      <c r="A12" s="25" t="s">
        <v>297</v>
      </c>
      <c r="B12" s="29"/>
      <c r="C12" s="30">
        <f>'Appendix B2'!D27</f>
        <v>48279</v>
      </c>
      <c r="D12" s="30">
        <f>'Appendix B2'!E27</f>
        <v>-51013</v>
      </c>
      <c r="E12" s="30">
        <f>'Appendix B2'!F27</f>
        <v>-110333</v>
      </c>
      <c r="F12" s="53" t="s">
        <v>320</v>
      </c>
    </row>
    <row r="13" spans="1:6" ht="12.75">
      <c r="A13" s="25" t="s">
        <v>333</v>
      </c>
      <c r="B13" s="29"/>
      <c r="C13" s="30">
        <f>'Appendix B2'!D57</f>
        <v>112373</v>
      </c>
      <c r="D13" s="30">
        <f>'Appendix B2'!E57</f>
        <v>44778</v>
      </c>
      <c r="E13" s="30">
        <f>'Appendix B2'!F57</f>
        <v>50518</v>
      </c>
      <c r="F13" s="53" t="s">
        <v>320</v>
      </c>
    </row>
    <row r="14" spans="1:6" ht="12.75">
      <c r="A14" s="25" t="s">
        <v>299</v>
      </c>
      <c r="B14" s="29"/>
      <c r="C14" s="30">
        <f>'Appendix B3'!D20</f>
        <v>-53703</v>
      </c>
      <c r="D14" s="30">
        <f>'Appendix B3'!E20</f>
        <v>-84878</v>
      </c>
      <c r="E14" s="30">
        <f>'Appendix B3'!F20</f>
        <v>-115624</v>
      </c>
      <c r="F14" s="53" t="s">
        <v>320</v>
      </c>
    </row>
    <row r="15" spans="1:6" ht="12.75">
      <c r="A15" s="25" t="s">
        <v>267</v>
      </c>
      <c r="B15" s="29"/>
      <c r="C15" s="30">
        <f>'Appendix B3'!D77</f>
        <v>71550</v>
      </c>
      <c r="D15" s="30">
        <f>'Appendix B3'!E77</f>
        <v>96795</v>
      </c>
      <c r="E15" s="30">
        <f>'Appendix B3'!F77</f>
        <v>116415</v>
      </c>
      <c r="F15" s="53" t="s">
        <v>320</v>
      </c>
    </row>
    <row r="16" spans="1:6" ht="12.75">
      <c r="A16" s="25" t="s">
        <v>268</v>
      </c>
      <c r="B16" s="29"/>
      <c r="C16" s="30">
        <f>'Appendix B3'!D82</f>
        <v>37976</v>
      </c>
      <c r="D16" s="30">
        <f>'Appendix B3'!E82</f>
        <v>51321</v>
      </c>
      <c r="E16" s="30">
        <f>'Appendix B3'!F82</f>
        <v>59219</v>
      </c>
      <c r="F16" s="53" t="s">
        <v>320</v>
      </c>
    </row>
    <row r="17" spans="3:6" ht="12.75">
      <c r="C17" s="36">
        <f>SUM(C12:C16)</f>
        <v>216475</v>
      </c>
      <c r="D17" s="36">
        <f>SUM(D12:D16)</f>
        <v>57003</v>
      </c>
      <c r="E17" s="36">
        <f>SUM(E12:E16)</f>
        <v>195</v>
      </c>
      <c r="F17" s="53"/>
    </row>
    <row r="18" spans="1:6" ht="12.75">
      <c r="A18" s="25" t="s">
        <v>301</v>
      </c>
      <c r="C18" s="30">
        <v>-50000</v>
      </c>
      <c r="D18" s="30">
        <v>-80000</v>
      </c>
      <c r="E18" s="30">
        <v>-100000</v>
      </c>
      <c r="F18" s="30">
        <v>10</v>
      </c>
    </row>
    <row r="19" spans="1:7" ht="13.5" thickBot="1">
      <c r="A19" s="57" t="s">
        <v>332</v>
      </c>
      <c r="C19" s="55">
        <f>+C17-C18</f>
        <v>266475</v>
      </c>
      <c r="D19" s="55">
        <f>+D17-D18</f>
        <v>137003</v>
      </c>
      <c r="E19" s="55">
        <f>+E17-E18</f>
        <v>100195</v>
      </c>
      <c r="G19" s="120" t="s">
        <v>341</v>
      </c>
    </row>
    <row r="20" spans="1:7" ht="16.5" thickTop="1">
      <c r="A20" s="111" t="s">
        <v>305</v>
      </c>
      <c r="B20" s="111"/>
      <c r="C20" s="111"/>
      <c r="D20" s="111"/>
      <c r="E20" s="111"/>
      <c r="F20" s="111"/>
      <c r="G20" s="78"/>
    </row>
    <row r="21" spans="1:7" ht="12.75">
      <c r="A21" s="79"/>
      <c r="B21" s="80"/>
      <c r="C21" s="80"/>
      <c r="D21" s="80"/>
      <c r="E21" s="80"/>
      <c r="F21" s="80"/>
      <c r="G21" s="99"/>
    </row>
    <row r="22" spans="1:7" ht="18.75">
      <c r="A22" s="82" t="s">
        <v>236</v>
      </c>
      <c r="B22" s="80"/>
      <c r="C22" s="80"/>
      <c r="D22" s="80"/>
      <c r="E22" s="80"/>
      <c r="F22" s="81"/>
      <c r="G22" s="99"/>
    </row>
    <row r="23" spans="1:7" ht="12.75">
      <c r="A23" s="80"/>
      <c r="B23" s="80"/>
      <c r="C23" s="80"/>
      <c r="D23" s="80"/>
      <c r="E23" s="80"/>
      <c r="F23" s="81"/>
      <c r="G23" s="99"/>
    </row>
    <row r="24" spans="5:7" ht="12.75">
      <c r="E24" s="25"/>
      <c r="F24" s="83"/>
      <c r="G24" s="83"/>
    </row>
    <row r="25" spans="5:7" ht="12.75">
      <c r="E25" s="83"/>
      <c r="F25" s="74" t="s">
        <v>189</v>
      </c>
      <c r="G25" s="25"/>
    </row>
    <row r="26" spans="2:7" ht="12.75">
      <c r="B26" s="68"/>
      <c r="C26" s="69" t="s">
        <v>8</v>
      </c>
      <c r="D26" s="69" t="s">
        <v>9</v>
      </c>
      <c r="E26" s="69" t="s">
        <v>10</v>
      </c>
      <c r="F26" s="25"/>
      <c r="G26" s="25"/>
    </row>
    <row r="27" spans="1:6" ht="12.75">
      <c r="A27" s="48"/>
      <c r="C27" s="29" t="s">
        <v>46</v>
      </c>
      <c r="D27" s="29" t="s">
        <v>46</v>
      </c>
      <c r="E27" s="29" t="s">
        <v>46</v>
      </c>
      <c r="F27" s="54"/>
    </row>
    <row r="28" spans="1:6" ht="12.75">
      <c r="A28" s="100" t="s">
        <v>302</v>
      </c>
      <c r="C28" s="62"/>
      <c r="D28" s="62"/>
      <c r="E28" s="62"/>
      <c r="F28" s="53"/>
    </row>
    <row r="29" spans="1:6" ht="12.75">
      <c r="A29" s="48"/>
      <c r="C29" s="62"/>
      <c r="D29" s="62"/>
      <c r="E29" s="62"/>
      <c r="F29" s="53"/>
    </row>
    <row r="30" spans="1:6" ht="12.75">
      <c r="A30" s="24" t="s">
        <v>204</v>
      </c>
      <c r="E30" s="25"/>
      <c r="F30" s="53"/>
    </row>
    <row r="31" spans="1:6" ht="12.75">
      <c r="A31" s="25" t="s">
        <v>289</v>
      </c>
      <c r="B31" s="29" t="s">
        <v>206</v>
      </c>
      <c r="C31" s="30">
        <f>'Original target'!C13</f>
        <v>1058704</v>
      </c>
      <c r="D31" s="30">
        <f>'Original target'!D13</f>
        <v>1090465</v>
      </c>
      <c r="E31" s="30">
        <f>'Original target'!E13</f>
        <v>1123179</v>
      </c>
      <c r="F31" s="53">
        <v>8</v>
      </c>
    </row>
    <row r="32" spans="1:6" ht="12.75">
      <c r="A32" s="25" t="s">
        <v>290</v>
      </c>
      <c r="B32" s="29" t="s">
        <v>207</v>
      </c>
      <c r="C32" s="30">
        <f>'Budget Schedule'!C19</f>
        <v>67534</v>
      </c>
      <c r="D32" s="30">
        <f>'Budget Schedule'!D19</f>
        <v>69561</v>
      </c>
      <c r="E32" s="30">
        <f>'Budget Schedule'!E19</f>
        <v>71648</v>
      </c>
      <c r="F32" s="53">
        <v>8</v>
      </c>
    </row>
    <row r="33" spans="1:6" ht="12.75">
      <c r="A33" s="25" t="s">
        <v>291</v>
      </c>
      <c r="B33" s="29" t="s">
        <v>208</v>
      </c>
      <c r="C33" s="30">
        <f>'Budget Schedule'!C23</f>
        <v>225113</v>
      </c>
      <c r="D33" s="30">
        <f>'Budget Schedule'!D23</f>
        <v>231866</v>
      </c>
      <c r="E33" s="30">
        <f>'Budget Schedule'!E23</f>
        <v>238822</v>
      </c>
      <c r="F33" s="53">
        <v>8</v>
      </c>
    </row>
    <row r="34" spans="1:6" ht="12.75">
      <c r="A34" s="25" t="s">
        <v>292</v>
      </c>
      <c r="B34" s="29" t="s">
        <v>209</v>
      </c>
      <c r="C34" s="30">
        <f>'Budget Schedule'!C32</f>
        <v>609280</v>
      </c>
      <c r="D34" s="30">
        <f>'Budget Schedule'!D32</f>
        <v>627560</v>
      </c>
      <c r="E34" s="30">
        <f>'Budget Schedule'!E32</f>
        <v>646387</v>
      </c>
      <c r="F34" s="53">
        <v>8</v>
      </c>
    </row>
    <row r="35" spans="1:6" ht="12.75">
      <c r="A35" s="25" t="s">
        <v>293</v>
      </c>
      <c r="B35" s="29" t="s">
        <v>210</v>
      </c>
      <c r="C35" s="30">
        <f>'Budget Schedule'!C34</f>
        <v>180090</v>
      </c>
      <c r="D35" s="30">
        <f>'Budget Schedule'!D34</f>
        <v>185493</v>
      </c>
      <c r="E35" s="30">
        <f>'Budget Schedule'!E34</f>
        <v>191058</v>
      </c>
      <c r="F35" s="53">
        <v>8</v>
      </c>
    </row>
    <row r="36" spans="1:6" ht="12.75">
      <c r="A36" s="25" t="s">
        <v>294</v>
      </c>
      <c r="B36" s="29" t="s">
        <v>211</v>
      </c>
      <c r="C36" s="30">
        <f>'Original target'!C45</f>
        <v>170253</v>
      </c>
      <c r="D36" s="30">
        <f>'Original target'!D45</f>
        <v>180379</v>
      </c>
      <c r="E36" s="30">
        <f>'Original target'!E45</f>
        <v>179253</v>
      </c>
      <c r="F36" s="53">
        <v>8</v>
      </c>
    </row>
    <row r="37" spans="3:5" ht="12.75">
      <c r="C37" s="31">
        <f>SUM(C31:C36)</f>
        <v>2310974</v>
      </c>
      <c r="D37" s="31">
        <f>SUM(D31:D36)</f>
        <v>2385324</v>
      </c>
      <c r="E37" s="31">
        <f>SUM(E31:E36)</f>
        <v>2450347</v>
      </c>
    </row>
    <row r="38" spans="1:5" ht="12.75">
      <c r="A38" s="25" t="s">
        <v>295</v>
      </c>
      <c r="B38" s="29" t="s">
        <v>212</v>
      </c>
      <c r="C38" s="25">
        <v>0</v>
      </c>
      <c r="D38" s="25">
        <v>0</v>
      </c>
      <c r="E38" s="25">
        <v>0</v>
      </c>
    </row>
    <row r="39" spans="1:5" ht="12.75">
      <c r="A39" s="29" t="s">
        <v>296</v>
      </c>
      <c r="C39" s="95">
        <f>C37-C38</f>
        <v>2310974</v>
      </c>
      <c r="D39" s="95">
        <f>D37-D38</f>
        <v>2385324</v>
      </c>
      <c r="E39" s="95">
        <f>E37-E38</f>
        <v>2450347</v>
      </c>
    </row>
    <row r="41" spans="1:6" ht="12.75">
      <c r="A41" s="77" t="s">
        <v>205</v>
      </c>
      <c r="C41" s="29"/>
      <c r="D41" s="29"/>
      <c r="E41" s="29"/>
      <c r="F41" s="54"/>
    </row>
    <row r="42" spans="1:6" ht="12.75">
      <c r="A42" s="25" t="s">
        <v>297</v>
      </c>
      <c r="B42" s="29" t="s">
        <v>213</v>
      </c>
      <c r="C42" s="30">
        <f>'Appendix B2'!D27</f>
        <v>48279</v>
      </c>
      <c r="D42" s="30">
        <f>'Appendix B2'!E27</f>
        <v>-51013</v>
      </c>
      <c r="E42" s="30">
        <f>'Appendix B2'!F27</f>
        <v>-110333</v>
      </c>
      <c r="F42" s="53" t="s">
        <v>320</v>
      </c>
    </row>
    <row r="43" spans="1:6" ht="12.75">
      <c r="A43" s="25" t="s">
        <v>298</v>
      </c>
      <c r="B43" s="29" t="s">
        <v>214</v>
      </c>
      <c r="C43" s="30">
        <f>'Appendix B2'!D57</f>
        <v>112373</v>
      </c>
      <c r="D43" s="30">
        <f>'Appendix B2'!E57</f>
        <v>44778</v>
      </c>
      <c r="E43" s="30">
        <f>'Appendix B2'!F57</f>
        <v>50518</v>
      </c>
      <c r="F43" s="53" t="s">
        <v>320</v>
      </c>
    </row>
    <row r="44" spans="1:6" ht="12.75">
      <c r="A44" s="25" t="s">
        <v>334</v>
      </c>
      <c r="B44" s="29" t="s">
        <v>215</v>
      </c>
      <c r="C44" s="30">
        <f>'Appendix B3'!D20</f>
        <v>-53703</v>
      </c>
      <c r="D44" s="30">
        <f>'Appendix B3'!E20</f>
        <v>-84878</v>
      </c>
      <c r="E44" s="30">
        <f>'Appendix B3'!F20</f>
        <v>-115624</v>
      </c>
      <c r="F44" s="53" t="s">
        <v>320</v>
      </c>
    </row>
    <row r="45" spans="1:6" ht="12.75">
      <c r="A45" s="25" t="s">
        <v>267</v>
      </c>
      <c r="B45" s="29" t="s">
        <v>216</v>
      </c>
      <c r="C45" s="30">
        <f>'Appendix B3'!D77</f>
        <v>71550</v>
      </c>
      <c r="D45" s="30">
        <f>'Appendix B3'!E77</f>
        <v>96795</v>
      </c>
      <c r="E45" s="30">
        <f>'Appendix B3'!F77</f>
        <v>116415</v>
      </c>
      <c r="F45" s="53" t="s">
        <v>320</v>
      </c>
    </row>
    <row r="46" spans="1:6" ht="12.75">
      <c r="A46" s="25" t="s">
        <v>268</v>
      </c>
      <c r="B46" s="29" t="s">
        <v>217</v>
      </c>
      <c r="C46" s="30">
        <f>'Appendix B3'!D82</f>
        <v>37976</v>
      </c>
      <c r="D46" s="30">
        <f>'Appendix B3'!E82</f>
        <v>51321</v>
      </c>
      <c r="E46" s="30">
        <f>'Appendix B3'!F82</f>
        <v>59219</v>
      </c>
      <c r="F46" s="53" t="s">
        <v>320</v>
      </c>
    </row>
    <row r="47" spans="3:6" ht="12.75">
      <c r="C47" s="95">
        <f>SUM(C42:C46)</f>
        <v>216475</v>
      </c>
      <c r="D47" s="95">
        <f>SUM(D42:D46)</f>
        <v>57003</v>
      </c>
      <c r="E47" s="95">
        <f>SUM(E42:E46)</f>
        <v>195</v>
      </c>
      <c r="F47" s="53"/>
    </row>
    <row r="49" spans="1:5" ht="12.75">
      <c r="A49" s="24" t="s">
        <v>174</v>
      </c>
      <c r="C49" s="29"/>
      <c r="D49" s="29"/>
      <c r="E49" s="29"/>
    </row>
    <row r="50" spans="1:5" ht="12.75">
      <c r="A50" s="25" t="s">
        <v>289</v>
      </c>
      <c r="B50" s="27" t="s">
        <v>218</v>
      </c>
      <c r="C50" s="30">
        <f>C31+C42</f>
        <v>1106983</v>
      </c>
      <c r="D50" s="30">
        <f>D31+D42</f>
        <v>1039452</v>
      </c>
      <c r="E50" s="30">
        <f>E31+E42</f>
        <v>1012846</v>
      </c>
    </row>
    <row r="51" spans="1:5" ht="12.75">
      <c r="A51" s="25" t="s">
        <v>290</v>
      </c>
      <c r="B51" s="29" t="s">
        <v>207</v>
      </c>
      <c r="C51" s="30">
        <f>C32</f>
        <v>67534</v>
      </c>
      <c r="D51" s="30">
        <f>D32</f>
        <v>69561</v>
      </c>
      <c r="E51" s="30">
        <f>E32</f>
        <v>71648</v>
      </c>
    </row>
    <row r="52" spans="1:5" ht="12.75">
      <c r="A52" s="25" t="s">
        <v>291</v>
      </c>
      <c r="B52" s="27" t="s">
        <v>219</v>
      </c>
      <c r="C52" s="30">
        <f aca="true" t="shared" si="0" ref="C52:E53">C33+C43</f>
        <v>337486</v>
      </c>
      <c r="D52" s="30">
        <f t="shared" si="0"/>
        <v>276644</v>
      </c>
      <c r="E52" s="30">
        <f t="shared" si="0"/>
        <v>289340</v>
      </c>
    </row>
    <row r="53" spans="1:5" ht="12.75">
      <c r="A53" s="25" t="s">
        <v>292</v>
      </c>
      <c r="B53" s="27" t="s">
        <v>220</v>
      </c>
      <c r="C53" s="30">
        <f t="shared" si="0"/>
        <v>555577</v>
      </c>
      <c r="D53" s="30">
        <f t="shared" si="0"/>
        <v>542682</v>
      </c>
      <c r="E53" s="30">
        <f t="shared" si="0"/>
        <v>530763</v>
      </c>
    </row>
    <row r="54" spans="1:5" ht="12.75">
      <c r="A54" s="25" t="s">
        <v>293</v>
      </c>
      <c r="B54" s="29" t="s">
        <v>210</v>
      </c>
      <c r="C54" s="30">
        <f>C35</f>
        <v>180090</v>
      </c>
      <c r="D54" s="30">
        <f>D35</f>
        <v>185493</v>
      </c>
      <c r="E54" s="30">
        <f>E35</f>
        <v>191058</v>
      </c>
    </row>
    <row r="55" spans="1:5" ht="12.75">
      <c r="A55" s="25" t="s">
        <v>294</v>
      </c>
      <c r="B55" s="27" t="s">
        <v>221</v>
      </c>
      <c r="C55" s="30">
        <f>C36+C45+C46</f>
        <v>279779</v>
      </c>
      <c r="D55" s="30">
        <f>D36+D45+D46</f>
        <v>328495</v>
      </c>
      <c r="E55" s="30">
        <f>E36+E45+E46</f>
        <v>354887</v>
      </c>
    </row>
    <row r="56" spans="3:5" ht="12.75">
      <c r="C56" s="31">
        <f>SUM(C50:C55)</f>
        <v>2527449</v>
      </c>
      <c r="D56" s="31">
        <f>SUM(D50:D55)</f>
        <v>2442327</v>
      </c>
      <c r="E56" s="31">
        <f>SUM(E50:E55)</f>
        <v>2450542</v>
      </c>
    </row>
    <row r="57" spans="1:5" ht="12.75">
      <c r="A57" s="25" t="s">
        <v>295</v>
      </c>
      <c r="C57" s="25">
        <v>0</v>
      </c>
      <c r="D57" s="25">
        <v>0</v>
      </c>
      <c r="E57" s="25">
        <v>0</v>
      </c>
    </row>
    <row r="58" spans="1:5" ht="13.5" thickBot="1">
      <c r="A58" s="29" t="s">
        <v>296</v>
      </c>
      <c r="C58" s="55">
        <f>C56-C57</f>
        <v>2527449</v>
      </c>
      <c r="D58" s="55">
        <f>D56-D57</f>
        <v>2442327</v>
      </c>
      <c r="E58" s="55">
        <f>E56-E57</f>
        <v>2450542</v>
      </c>
    </row>
    <row r="59" ht="13.5" thickTop="1"/>
    <row r="60" spans="1:5" ht="12.75">
      <c r="A60" s="24" t="s">
        <v>227</v>
      </c>
      <c r="E60" s="25"/>
    </row>
    <row r="61" spans="1:5" ht="12.75">
      <c r="A61" s="25" t="s">
        <v>223</v>
      </c>
      <c r="C61" s="33">
        <f>C56</f>
        <v>2527449</v>
      </c>
      <c r="D61" s="33">
        <f>D56</f>
        <v>2442327</v>
      </c>
      <c r="E61" s="33">
        <f>E56</f>
        <v>2450542</v>
      </c>
    </row>
    <row r="62" spans="1:6" ht="12.75">
      <c r="A62" s="25" t="s">
        <v>222</v>
      </c>
      <c r="C62" s="33">
        <v>2260974</v>
      </c>
      <c r="D62" s="33">
        <v>2305324</v>
      </c>
      <c r="E62" s="33">
        <v>2350347</v>
      </c>
      <c r="F62" s="53">
        <v>10</v>
      </c>
    </row>
    <row r="63" spans="1:5" ht="13.5" thickBot="1">
      <c r="A63" s="57" t="s">
        <v>224</v>
      </c>
      <c r="C63" s="55">
        <f>C61-C62</f>
        <v>266475</v>
      </c>
      <c r="D63" s="55">
        <f>D61-D62</f>
        <v>137003</v>
      </c>
      <c r="E63" s="55">
        <f>E61-E62</f>
        <v>100195</v>
      </c>
    </row>
    <row r="64" spans="1:5" ht="13.5" thickTop="1">
      <c r="A64" s="24"/>
      <c r="C64" s="62"/>
      <c r="D64" s="62"/>
      <c r="E64" s="62"/>
    </row>
    <row r="65" spans="1:5" ht="12.75">
      <c r="A65" s="25" t="s">
        <v>226</v>
      </c>
      <c r="C65" s="30">
        <f>C47</f>
        <v>216475</v>
      </c>
      <c r="D65" s="30">
        <f>D47</f>
        <v>57003</v>
      </c>
      <c r="E65" s="30">
        <f>E47</f>
        <v>195</v>
      </c>
    </row>
    <row r="66" spans="1:6" ht="12.75">
      <c r="A66" s="25" t="s">
        <v>225</v>
      </c>
      <c r="C66" s="30">
        <v>-50000</v>
      </c>
      <c r="D66" s="30">
        <v>-80000</v>
      </c>
      <c r="E66" s="30">
        <v>-100000</v>
      </c>
      <c r="F66" s="32">
        <v>10</v>
      </c>
    </row>
    <row r="67" spans="1:7" ht="13.5" thickBot="1">
      <c r="A67" s="57" t="s">
        <v>332</v>
      </c>
      <c r="C67" s="55">
        <f>C65-C66</f>
        <v>266475</v>
      </c>
      <c r="D67" s="55">
        <f>D65-D66</f>
        <v>137003</v>
      </c>
      <c r="E67" s="55">
        <f>E65-E66</f>
        <v>100195</v>
      </c>
      <c r="G67" s="120" t="s">
        <v>341</v>
      </c>
    </row>
    <row r="68" ht="13.5" thickTop="1"/>
  </sheetData>
  <mergeCells count="2">
    <mergeCell ref="A20:F20"/>
    <mergeCell ref="A1:F1"/>
  </mergeCells>
  <printOptions horizontalCentered="1"/>
  <pageMargins left="0.7480314960629921" right="0.22" top="0.38" bottom="0.61" header="0.4" footer="0.4"/>
  <pageSetup horizontalDpi="200" verticalDpi="200" orientation="portrait" paperSize="9" r:id="rId1"/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7">
      <selection activeCell="A1" sqref="A1:G36"/>
    </sheetView>
  </sheetViews>
  <sheetFormatPr defaultColWidth="9.140625" defaultRowHeight="12.75"/>
  <cols>
    <col min="1" max="1" width="39.8515625" style="25" customWidth="1"/>
    <col min="2" max="4" width="8.8515625" style="25" bestFit="1" customWidth="1"/>
    <col min="5" max="5" width="8.8515625" style="30" customWidth="1"/>
    <col min="6" max="6" width="9.7109375" style="0" customWidth="1"/>
    <col min="7" max="7" width="8.28125" style="30" customWidth="1"/>
    <col min="8" max="8" width="8.28125" style="30" bestFit="1" customWidth="1"/>
    <col min="9" max="16384" width="9.140625" style="25" customWidth="1"/>
  </cols>
  <sheetData>
    <row r="1" spans="1:6" ht="15.75">
      <c r="A1" s="111" t="s">
        <v>304</v>
      </c>
      <c r="B1" s="111"/>
      <c r="C1" s="111"/>
      <c r="D1" s="111"/>
      <c r="E1" s="111"/>
      <c r="F1" s="111"/>
    </row>
    <row r="2" spans="1:6" ht="12.75">
      <c r="A2" s="79"/>
      <c r="B2" s="80"/>
      <c r="C2" s="80"/>
      <c r="D2" s="80"/>
      <c r="E2" s="80"/>
      <c r="F2" s="80"/>
    </row>
    <row r="3" spans="1:6" ht="18.75">
      <c r="A3" s="82" t="s">
        <v>236</v>
      </c>
      <c r="B3" s="80"/>
      <c r="C3" s="80"/>
      <c r="D3" s="80"/>
      <c r="E3" s="80"/>
      <c r="F3" s="81"/>
    </row>
    <row r="4" spans="1:6" ht="12.75">
      <c r="A4" s="80"/>
      <c r="B4" s="80"/>
      <c r="C4" s="80"/>
      <c r="D4" s="80"/>
      <c r="E4" s="80"/>
      <c r="F4" s="81"/>
    </row>
    <row r="5" spans="5:6" ht="12.75">
      <c r="E5" s="25"/>
      <c r="F5" s="83"/>
    </row>
    <row r="6" spans="5:6" ht="12.75">
      <c r="E6" s="83"/>
      <c r="F6" s="74" t="s">
        <v>189</v>
      </c>
    </row>
    <row r="7" spans="1:6" ht="12.75">
      <c r="A7" s="101" t="s">
        <v>303</v>
      </c>
      <c r="D7" s="54"/>
      <c r="F7" s="54"/>
    </row>
    <row r="8" spans="1:6" ht="12.75">
      <c r="A8" s="47"/>
      <c r="B8" s="47"/>
      <c r="C8" s="47"/>
      <c r="D8" s="47"/>
      <c r="E8" s="47"/>
      <c r="F8" s="53"/>
    </row>
    <row r="9" spans="1:6" ht="12.75">
      <c r="A9" s="49" t="s">
        <v>306</v>
      </c>
      <c r="B9" s="47"/>
      <c r="C9" s="47"/>
      <c r="D9" s="47"/>
      <c r="E9" s="47"/>
      <c r="F9" s="53"/>
    </row>
    <row r="10" spans="1:6" ht="12.75">
      <c r="A10" s="47" t="s">
        <v>307</v>
      </c>
      <c r="B10" s="45" t="s">
        <v>31</v>
      </c>
      <c r="C10" s="45" t="s">
        <v>30</v>
      </c>
      <c r="D10" s="45" t="s">
        <v>29</v>
      </c>
      <c r="E10" s="45" t="s">
        <v>33</v>
      </c>
      <c r="F10" s="57" t="s">
        <v>189</v>
      </c>
    </row>
    <row r="11" spans="1:6" ht="12.75">
      <c r="A11" s="51" t="s">
        <v>308</v>
      </c>
      <c r="B11" s="46">
        <v>5000</v>
      </c>
      <c r="C11" s="46">
        <v>9000</v>
      </c>
      <c r="D11" s="46">
        <v>13000</v>
      </c>
      <c r="E11" s="52">
        <f>SUM(B11:D11)</f>
        <v>27000</v>
      </c>
      <c r="F11" s="53">
        <v>11</v>
      </c>
    </row>
    <row r="12" spans="1:6" ht="12.75">
      <c r="A12" s="51" t="s">
        <v>309</v>
      </c>
      <c r="B12" s="46">
        <f>'Appendix B1'!B43</f>
        <v>1600</v>
      </c>
      <c r="C12" s="46">
        <f>'Appendix B1'!B42</f>
        <v>1800</v>
      </c>
      <c r="D12" s="46">
        <f>'Appendix B1'!B41</f>
        <v>2100</v>
      </c>
      <c r="E12" s="50"/>
      <c r="F12" s="53">
        <v>11</v>
      </c>
    </row>
    <row r="13" spans="1:9" ht="12.75">
      <c r="A13" s="51" t="s">
        <v>310</v>
      </c>
      <c r="B13" s="47">
        <f>ROUND(B11/B12,2)</f>
        <v>3.13</v>
      </c>
      <c r="C13" s="47">
        <f>ROUND(C11/C12,2)</f>
        <v>5</v>
      </c>
      <c r="D13" s="47">
        <f>ROUND(D11/D12,2)</f>
        <v>6.19</v>
      </c>
      <c r="E13" s="50">
        <f>SUM(B13:D13)</f>
        <v>14.32</v>
      </c>
      <c r="F13" s="53"/>
      <c r="I13" s="104"/>
    </row>
    <row r="14" spans="1:9" ht="12.75">
      <c r="A14" s="51"/>
      <c r="B14" s="47"/>
      <c r="C14" s="47"/>
      <c r="D14" s="47"/>
      <c r="E14" s="50"/>
      <c r="F14" s="53"/>
      <c r="I14" s="104"/>
    </row>
    <row r="15" spans="1:9" ht="12.75">
      <c r="A15" s="51" t="s">
        <v>311</v>
      </c>
      <c r="B15" s="47"/>
      <c r="C15" s="47"/>
      <c r="D15" s="47"/>
      <c r="E15" s="50">
        <f>'Appendix B1'!F50</f>
        <v>16</v>
      </c>
      <c r="F15" s="53" t="s">
        <v>319</v>
      </c>
      <c r="I15" s="104"/>
    </row>
    <row r="16" spans="1:9" ht="12.75">
      <c r="A16" s="51"/>
      <c r="B16" s="47"/>
      <c r="C16" s="47"/>
      <c r="D16" s="47"/>
      <c r="E16" s="50"/>
      <c r="F16" s="53"/>
      <c r="I16" s="104"/>
    </row>
    <row r="17" spans="1:9" ht="12.75">
      <c r="A17" s="51" t="s">
        <v>312</v>
      </c>
      <c r="B17" s="56"/>
      <c r="C17" s="56"/>
      <c r="D17" s="56"/>
      <c r="E17" s="102">
        <f>E15-E13</f>
        <v>1.6799999999999997</v>
      </c>
      <c r="F17" s="53"/>
      <c r="I17" s="104"/>
    </row>
    <row r="18" spans="1:6" ht="12.75">
      <c r="A18" s="51"/>
      <c r="B18" s="56"/>
      <c r="C18" s="56"/>
      <c r="D18" s="56"/>
      <c r="E18" s="63"/>
      <c r="F18" s="53"/>
    </row>
    <row r="19" spans="1:7" ht="12.75">
      <c r="A19" s="51" t="s">
        <v>228</v>
      </c>
      <c r="B19" s="56"/>
      <c r="C19" s="56"/>
      <c r="D19" s="56"/>
      <c r="E19" s="103">
        <f>ROUNDDOWN(E17,0)</f>
        <v>1</v>
      </c>
      <c r="F19" s="53"/>
      <c r="G19" s="120" t="s">
        <v>343</v>
      </c>
    </row>
    <row r="20" spans="1:6" ht="12.75">
      <c r="A20" s="47"/>
      <c r="B20" s="47"/>
      <c r="C20" s="47"/>
      <c r="D20" s="47"/>
      <c r="E20" s="50"/>
      <c r="F20" s="53"/>
    </row>
    <row r="21" spans="1:6" ht="12.75">
      <c r="A21" s="49" t="s">
        <v>322</v>
      </c>
      <c r="B21" s="47"/>
      <c r="C21" s="47"/>
      <c r="D21" s="47"/>
      <c r="E21" s="50"/>
      <c r="F21" s="53"/>
    </row>
    <row r="22" spans="1:6" ht="12.75">
      <c r="A22" s="47" t="s">
        <v>246</v>
      </c>
      <c r="B22" s="47"/>
      <c r="D22" s="47"/>
      <c r="E22" s="45" t="s">
        <v>46</v>
      </c>
      <c r="F22" s="53"/>
    </row>
    <row r="23" spans="1:6" ht="12.75">
      <c r="A23" s="47" t="s">
        <v>313</v>
      </c>
      <c r="B23" s="47"/>
      <c r="D23" s="47"/>
      <c r="E23" s="46">
        <f>'Appendix B2'!F19</f>
        <v>45969</v>
      </c>
      <c r="F23" s="53" t="s">
        <v>320</v>
      </c>
    </row>
    <row r="24" spans="1:6" ht="12.75">
      <c r="A24" s="47" t="s">
        <v>314</v>
      </c>
      <c r="B24" s="47"/>
      <c r="D24" s="47"/>
      <c r="E24" s="46">
        <f>'Appendix B2'!F47</f>
        <v>15922</v>
      </c>
      <c r="F24" s="53" t="s">
        <v>320</v>
      </c>
    </row>
    <row r="25" spans="1:6" ht="12.75">
      <c r="A25" s="47" t="s">
        <v>315</v>
      </c>
      <c r="B25" s="47"/>
      <c r="D25" s="47"/>
      <c r="E25" s="46">
        <f>'Appendix B2'!F48</f>
        <v>1098</v>
      </c>
      <c r="F25" s="53" t="s">
        <v>320</v>
      </c>
    </row>
    <row r="26" spans="1:6" ht="12.75">
      <c r="A26" s="47" t="s">
        <v>316</v>
      </c>
      <c r="B26" s="47"/>
      <c r="D26" s="47"/>
      <c r="E26" s="46">
        <f>'Appendix B3'!F35</f>
        <v>11250</v>
      </c>
      <c r="F26" s="53" t="s">
        <v>320</v>
      </c>
    </row>
    <row r="27" spans="1:6" ht="12.75">
      <c r="A27" s="47" t="s">
        <v>337</v>
      </c>
      <c r="B27" s="47"/>
      <c r="D27" s="47"/>
      <c r="E27" s="46">
        <f>'Appendix B3'!F36</f>
        <v>1938</v>
      </c>
      <c r="F27" s="53" t="s">
        <v>320</v>
      </c>
    </row>
    <row r="28" spans="1:6" ht="12.75">
      <c r="A28" s="47" t="s">
        <v>317</v>
      </c>
      <c r="B28" s="47"/>
      <c r="D28" s="47"/>
      <c r="E28" s="46">
        <f>'Appendix B3'!D47</f>
        <v>1395</v>
      </c>
      <c r="F28" s="53" t="s">
        <v>320</v>
      </c>
    </row>
    <row r="29" spans="1:6" ht="12.75">
      <c r="A29" s="47" t="s">
        <v>335</v>
      </c>
      <c r="B29" s="47"/>
      <c r="D29" s="47"/>
      <c r="E29" s="46">
        <f>'Appendix B3'!D55</f>
        <v>728</v>
      </c>
      <c r="F29" s="53" t="s">
        <v>320</v>
      </c>
    </row>
    <row r="30" spans="1:7" ht="13.5" thickBot="1">
      <c r="A30" s="45" t="s">
        <v>33</v>
      </c>
      <c r="B30" s="47"/>
      <c r="D30" s="47"/>
      <c r="E30" s="91">
        <f>SUM(E23:E29)</f>
        <v>78300</v>
      </c>
      <c r="F30" s="53"/>
      <c r="G30" s="120" t="s">
        <v>339</v>
      </c>
    </row>
    <row r="31" spans="1:6" ht="13.5" thickTop="1">
      <c r="A31" s="47"/>
      <c r="B31" s="47"/>
      <c r="D31" s="47"/>
      <c r="E31" s="93"/>
      <c r="F31" s="53"/>
    </row>
    <row r="32" spans="1:6" ht="13.5" thickBot="1">
      <c r="A32" s="49" t="s">
        <v>188</v>
      </c>
      <c r="B32" s="49"/>
      <c r="D32" s="47"/>
      <c r="E32" s="92">
        <f>E19*E30</f>
        <v>78300</v>
      </c>
      <c r="F32" s="53"/>
    </row>
    <row r="33" ht="13.5" thickTop="1"/>
    <row r="35" ht="12.75">
      <c r="A35" s="25" t="s">
        <v>338</v>
      </c>
    </row>
    <row r="36" ht="12.75">
      <c r="A36" s="25" t="s">
        <v>336</v>
      </c>
    </row>
  </sheetData>
  <mergeCells count="1">
    <mergeCell ref="A1:F1"/>
  </mergeCells>
  <printOptions horizontalCentered="1"/>
  <pageMargins left="0.7480314960629921" right="0.22" top="0.59" bottom="0.61" header="0.4" footer="0.4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workbookViewId="0" topLeftCell="A10">
      <selection activeCell="C39" sqref="C39"/>
    </sheetView>
  </sheetViews>
  <sheetFormatPr defaultColWidth="9.140625" defaultRowHeight="12.75"/>
  <cols>
    <col min="1" max="2" width="18.00390625" style="4" bestFit="1" customWidth="1"/>
    <col min="3" max="3" width="13.140625" style="4" bestFit="1" customWidth="1"/>
    <col min="4" max="4" width="13.140625" style="4" customWidth="1"/>
    <col min="5" max="5" width="14.140625" style="4" bestFit="1" customWidth="1"/>
    <col min="6" max="8" width="10.140625" style="4" bestFit="1" customWidth="1"/>
    <col min="9" max="9" width="7.7109375" style="4" bestFit="1" customWidth="1"/>
    <col min="10" max="10" width="10.140625" style="4" bestFit="1" customWidth="1"/>
    <col min="11" max="11" width="9.140625" style="4" bestFit="1" customWidth="1"/>
    <col min="12" max="16384" width="9.140625" style="4" customWidth="1"/>
  </cols>
  <sheetData>
    <row r="1" spans="1:2" ht="11.25">
      <c r="A1" s="8"/>
      <c r="B1" s="8"/>
    </row>
    <row r="2" spans="4:10" ht="11.25">
      <c r="D2" s="6" t="s">
        <v>32</v>
      </c>
      <c r="E2" s="114" t="s">
        <v>8</v>
      </c>
      <c r="F2" s="114"/>
      <c r="G2" s="114" t="s">
        <v>9</v>
      </c>
      <c r="H2" s="114"/>
      <c r="I2" s="114" t="s">
        <v>10</v>
      </c>
      <c r="J2" s="114"/>
    </row>
    <row r="3" spans="2:10" ht="11.25">
      <c r="B3" s="4" t="s">
        <v>23</v>
      </c>
      <c r="C3" s="7" t="s">
        <v>4</v>
      </c>
      <c r="D3" s="7" t="s">
        <v>6</v>
      </c>
      <c r="E3" s="7" t="s">
        <v>6</v>
      </c>
      <c r="F3" s="7" t="s">
        <v>7</v>
      </c>
      <c r="G3" s="7" t="s">
        <v>6</v>
      </c>
      <c r="H3" s="7" t="s">
        <v>7</v>
      </c>
      <c r="I3" s="7" t="s">
        <v>6</v>
      </c>
      <c r="J3" s="7" t="s">
        <v>7</v>
      </c>
    </row>
    <row r="4" spans="4:10" ht="11.25">
      <c r="D4" s="16">
        <v>1</v>
      </c>
      <c r="E4" s="16">
        <v>0.5</v>
      </c>
      <c r="F4" s="16">
        <v>0.5</v>
      </c>
      <c r="G4" s="16">
        <v>0.2</v>
      </c>
      <c r="H4" s="16">
        <v>0.8</v>
      </c>
      <c r="I4" s="16">
        <v>0</v>
      </c>
      <c r="J4" s="16">
        <v>1</v>
      </c>
    </row>
    <row r="5" spans="2:10" ht="11.25">
      <c r="B5" s="4" t="s">
        <v>0</v>
      </c>
      <c r="C5" s="5">
        <v>13000</v>
      </c>
      <c r="D5" s="5">
        <f>ROUND(C5*D$4,0)</f>
        <v>13000</v>
      </c>
      <c r="E5" s="5">
        <f aca="true" t="shared" si="0" ref="E5:F7">ROUND($C5*E$4,0)</f>
        <v>6500</v>
      </c>
      <c r="F5" s="5">
        <f t="shared" si="0"/>
        <v>6500</v>
      </c>
      <c r="G5" s="5">
        <f aca="true" t="shared" si="1" ref="G5:J7">ROUND($C5*G$4,0)</f>
        <v>2600</v>
      </c>
      <c r="H5" s="5">
        <f t="shared" si="1"/>
        <v>10400</v>
      </c>
      <c r="I5" s="5">
        <f t="shared" si="1"/>
        <v>0</v>
      </c>
      <c r="J5" s="5">
        <f t="shared" si="1"/>
        <v>13000</v>
      </c>
    </row>
    <row r="6" spans="2:10" ht="11.25">
      <c r="B6" s="4" t="s">
        <v>1</v>
      </c>
      <c r="C6" s="5">
        <v>9000</v>
      </c>
      <c r="D6" s="5">
        <f>ROUND(C6*D$4,0)</f>
        <v>9000</v>
      </c>
      <c r="E6" s="5">
        <f t="shared" si="0"/>
        <v>4500</v>
      </c>
      <c r="F6" s="5">
        <f t="shared" si="0"/>
        <v>4500</v>
      </c>
      <c r="G6" s="5">
        <f t="shared" si="1"/>
        <v>1800</v>
      </c>
      <c r="H6" s="5">
        <f t="shared" si="1"/>
        <v>7200</v>
      </c>
      <c r="I6" s="5">
        <f t="shared" si="1"/>
        <v>0</v>
      </c>
      <c r="J6" s="5">
        <f t="shared" si="1"/>
        <v>9000</v>
      </c>
    </row>
    <row r="7" spans="2:10" ht="11.25">
      <c r="B7" s="4" t="s">
        <v>2</v>
      </c>
      <c r="C7" s="5">
        <v>5000</v>
      </c>
      <c r="D7" s="5">
        <f>ROUND(C7*D$4,0)</f>
        <v>5000</v>
      </c>
      <c r="E7" s="5">
        <f t="shared" si="0"/>
        <v>2500</v>
      </c>
      <c r="F7" s="5">
        <f t="shared" si="0"/>
        <v>2500</v>
      </c>
      <c r="G7" s="5">
        <f t="shared" si="1"/>
        <v>1000</v>
      </c>
      <c r="H7" s="5">
        <f t="shared" si="1"/>
        <v>4000</v>
      </c>
      <c r="I7" s="5">
        <f t="shared" si="1"/>
        <v>0</v>
      </c>
      <c r="J7" s="5">
        <f t="shared" si="1"/>
        <v>5000</v>
      </c>
    </row>
    <row r="8" spans="3:10" ht="11.25">
      <c r="C8" s="5">
        <f>SUM(C5:C7)</f>
        <v>27000</v>
      </c>
      <c r="D8" s="5">
        <f>SUM(D4:D7)+D10</f>
        <v>27000</v>
      </c>
      <c r="E8" s="5">
        <f>SUM(E4:E7)+E10</f>
        <v>13499.5</v>
      </c>
      <c r="F8" s="5">
        <f>SUM(F5:F7)</f>
        <v>13500</v>
      </c>
      <c r="G8" s="5">
        <f>SUM(G4:G7)+G10</f>
        <v>5400</v>
      </c>
      <c r="H8" s="5">
        <f>SUM(H5:H7)</f>
        <v>21600</v>
      </c>
      <c r="I8" s="4">
        <f>SUM(I4:I7)</f>
        <v>0</v>
      </c>
      <c r="J8" s="5">
        <f>SUM(J5:J7)</f>
        <v>27000</v>
      </c>
    </row>
    <row r="9" spans="3:10" ht="11.25">
      <c r="C9" s="5"/>
      <c r="D9" s="5"/>
      <c r="E9" s="5"/>
      <c r="F9" s="5"/>
      <c r="H9" s="5"/>
      <c r="J9" s="5"/>
    </row>
    <row r="10" spans="1:10" ht="11.25">
      <c r="A10" s="4" t="s">
        <v>133</v>
      </c>
      <c r="C10" s="5"/>
      <c r="D10" s="5">
        <v>-1</v>
      </c>
      <c r="E10" s="5">
        <v>-1</v>
      </c>
      <c r="F10" s="5"/>
      <c r="G10" s="4">
        <v>-0.2</v>
      </c>
      <c r="H10" s="5"/>
      <c r="J10" s="5"/>
    </row>
    <row r="11" spans="3:6" ht="11.25">
      <c r="C11" s="5"/>
      <c r="D11" s="5"/>
      <c r="E11" s="5"/>
      <c r="F11" s="5"/>
    </row>
    <row r="12" spans="2:10" ht="11.25">
      <c r="B12" s="116" t="s">
        <v>3</v>
      </c>
      <c r="C12" s="116"/>
      <c r="D12" s="7"/>
      <c r="E12" s="115" t="s">
        <v>5</v>
      </c>
      <c r="F12" s="115"/>
      <c r="G12" s="115"/>
      <c r="H12" s="115"/>
      <c r="I12" s="115"/>
      <c r="J12" s="115"/>
    </row>
    <row r="13" spans="2:17" ht="11.25">
      <c r="B13" s="7" t="s">
        <v>6</v>
      </c>
      <c r="C13" s="7" t="s">
        <v>7</v>
      </c>
      <c r="D13" s="6" t="s">
        <v>32</v>
      </c>
      <c r="E13" s="114" t="s">
        <v>8</v>
      </c>
      <c r="F13" s="114"/>
      <c r="G13" s="114" t="s">
        <v>9</v>
      </c>
      <c r="H13" s="114"/>
      <c r="I13" s="114" t="s">
        <v>10</v>
      </c>
      <c r="J13" s="114"/>
      <c r="Q13" s="14"/>
    </row>
    <row r="14" spans="2:10" ht="11.25">
      <c r="B14" s="7"/>
      <c r="C14" s="7"/>
      <c r="D14" s="7" t="s">
        <v>6</v>
      </c>
      <c r="E14" s="7" t="s">
        <v>6</v>
      </c>
      <c r="F14" s="7" t="s">
        <v>7</v>
      </c>
      <c r="G14" s="7" t="s">
        <v>6</v>
      </c>
      <c r="H14" s="7" t="s">
        <v>7</v>
      </c>
      <c r="I14" s="7" t="s">
        <v>6</v>
      </c>
      <c r="J14" s="7" t="s">
        <v>7</v>
      </c>
    </row>
    <row r="15" spans="1:10" ht="11.25">
      <c r="A15" s="4" t="s">
        <v>0</v>
      </c>
      <c r="B15" s="5">
        <v>2200</v>
      </c>
      <c r="C15" s="5">
        <v>2100</v>
      </c>
      <c r="D15" s="5">
        <f aca="true" t="shared" si="2" ref="D15:I17">ROUNDUP(D5/$B15,0)</f>
        <v>6</v>
      </c>
      <c r="E15" s="5">
        <f t="shared" si="2"/>
        <v>3</v>
      </c>
      <c r="F15" s="5">
        <f>ROUNDUP(F5/$C15,0)</f>
        <v>4</v>
      </c>
      <c r="G15" s="5">
        <f t="shared" si="2"/>
        <v>2</v>
      </c>
      <c r="H15" s="5">
        <f>ROUNDUP(H5/$C15,0)</f>
        <v>5</v>
      </c>
      <c r="I15" s="5">
        <f t="shared" si="2"/>
        <v>0</v>
      </c>
      <c r="J15" s="5">
        <f>ROUNDUP(J5/$C15,0)</f>
        <v>7</v>
      </c>
    </row>
    <row r="16" spans="1:10" ht="11.25">
      <c r="A16" s="4" t="s">
        <v>1</v>
      </c>
      <c r="B16" s="5">
        <v>1900</v>
      </c>
      <c r="C16" s="5">
        <v>1800</v>
      </c>
      <c r="D16" s="5">
        <f t="shared" si="2"/>
        <v>5</v>
      </c>
      <c r="E16" s="5">
        <f t="shared" si="2"/>
        <v>3</v>
      </c>
      <c r="F16" s="5">
        <f>ROUNDUP(F6/$C16,0)</f>
        <v>3</v>
      </c>
      <c r="G16" s="5">
        <f t="shared" si="2"/>
        <v>1</v>
      </c>
      <c r="H16" s="5">
        <f>ROUNDUP(H6/$C16,0)</f>
        <v>4</v>
      </c>
      <c r="I16" s="5">
        <f t="shared" si="2"/>
        <v>0</v>
      </c>
      <c r="J16" s="5">
        <f>ROUNDUP(J6/$C16,0)</f>
        <v>5</v>
      </c>
    </row>
    <row r="17" spans="1:10" ht="11.25">
      <c r="A17" s="4" t="s">
        <v>2</v>
      </c>
      <c r="B17" s="5">
        <v>1700</v>
      </c>
      <c r="C17" s="5">
        <v>1600</v>
      </c>
      <c r="D17" s="5">
        <f t="shared" si="2"/>
        <v>3</v>
      </c>
      <c r="E17" s="5">
        <f t="shared" si="2"/>
        <v>2</v>
      </c>
      <c r="F17" s="5">
        <f>ROUNDUP(F7/$C17,0)</f>
        <v>2</v>
      </c>
      <c r="G17" s="5">
        <f t="shared" si="2"/>
        <v>1</v>
      </c>
      <c r="H17" s="5">
        <f>ROUNDUP(H7/$C17,0)</f>
        <v>3</v>
      </c>
      <c r="I17" s="5">
        <f t="shared" si="2"/>
        <v>0</v>
      </c>
      <c r="J17" s="5">
        <f>ROUNDUP(J7/$C17,0)</f>
        <v>4</v>
      </c>
    </row>
    <row r="18" spans="3:10" ht="11.25">
      <c r="C18" s="5"/>
      <c r="D18" s="5">
        <f aca="true" t="shared" si="3" ref="D18:J18">SUM(D15:D17)</f>
        <v>14</v>
      </c>
      <c r="E18" s="5">
        <f t="shared" si="3"/>
        <v>8</v>
      </c>
      <c r="F18" s="5">
        <f t="shared" si="3"/>
        <v>9</v>
      </c>
      <c r="G18" s="5">
        <f t="shared" si="3"/>
        <v>4</v>
      </c>
      <c r="H18" s="5">
        <f t="shared" si="3"/>
        <v>12</v>
      </c>
      <c r="I18" s="5">
        <f t="shared" si="3"/>
        <v>0</v>
      </c>
      <c r="J18" s="5">
        <f t="shared" si="3"/>
        <v>16</v>
      </c>
    </row>
    <row r="19" spans="3:10" ht="11.25">
      <c r="C19" s="5"/>
      <c r="D19" s="5"/>
      <c r="E19" s="5"/>
      <c r="F19" s="5"/>
      <c r="G19" s="5"/>
      <c r="H19" s="5"/>
      <c r="I19" s="5"/>
      <c r="J19" s="5"/>
    </row>
    <row r="20" spans="1:10" ht="11.25">
      <c r="A20" s="4" t="s">
        <v>11</v>
      </c>
      <c r="B20" s="4" t="s">
        <v>15</v>
      </c>
      <c r="C20" s="4" t="s">
        <v>14</v>
      </c>
      <c r="D20" s="10">
        <v>0</v>
      </c>
      <c r="E20" s="117">
        <f>'Original target'!C2</f>
        <v>0.035</v>
      </c>
      <c r="F20" s="117"/>
      <c r="G20" s="117">
        <f>'Original target'!D2</f>
        <v>0.03</v>
      </c>
      <c r="H20" s="117"/>
      <c r="I20" s="117">
        <f>'Original target'!E2</f>
        <v>0.03</v>
      </c>
      <c r="J20" s="117"/>
    </row>
    <row r="21" spans="1:10" ht="11.25">
      <c r="A21" s="4" t="s">
        <v>12</v>
      </c>
      <c r="B21" s="4">
        <v>6.5</v>
      </c>
      <c r="D21" s="4">
        <f>ROUND(B21*(1+D$20),2)</f>
        <v>6.5</v>
      </c>
      <c r="E21" s="116">
        <f>ROUND(B21*(1+E$20),2)</f>
        <v>6.73</v>
      </c>
      <c r="F21" s="116"/>
      <c r="G21" s="116">
        <f>ROUND(E21*(1+G$20),2)</f>
        <v>6.93</v>
      </c>
      <c r="H21" s="116"/>
      <c r="I21" s="116">
        <f>ROUND(G21*(1+I$20),2)</f>
        <v>7.14</v>
      </c>
      <c r="J21" s="116"/>
    </row>
    <row r="22" spans="1:10" ht="11.25">
      <c r="A22" s="4" t="s">
        <v>13</v>
      </c>
      <c r="B22" s="4">
        <v>5.5</v>
      </c>
      <c r="D22" s="4">
        <f>ROUND(B22*(1+D$20),2)</f>
        <v>5.5</v>
      </c>
      <c r="E22" s="116">
        <f>ROUND(B22*(1+E$20),2)</f>
        <v>5.69</v>
      </c>
      <c r="F22" s="116"/>
      <c r="G22" s="116">
        <f>ROUND(E22*(1+G$20),2)</f>
        <v>5.86</v>
      </c>
      <c r="H22" s="116"/>
      <c r="I22" s="116">
        <f>ROUND(G22*(1+I$20),2)</f>
        <v>6.04</v>
      </c>
      <c r="J22" s="116"/>
    </row>
    <row r="24" spans="1:7" ht="11.25">
      <c r="A24" s="4" t="s">
        <v>16</v>
      </c>
      <c r="B24" s="18">
        <v>52.143</v>
      </c>
      <c r="E24" s="4" t="s">
        <v>17</v>
      </c>
      <c r="F24" s="7" t="s">
        <v>6</v>
      </c>
      <c r="G24" s="7" t="s">
        <v>7</v>
      </c>
    </row>
    <row r="25" spans="1:7" ht="11.25">
      <c r="A25" s="4" t="s">
        <v>18</v>
      </c>
      <c r="B25" s="5">
        <v>37</v>
      </c>
      <c r="E25" s="4" t="s">
        <v>20</v>
      </c>
      <c r="F25" s="5">
        <v>1</v>
      </c>
      <c r="G25" s="5">
        <v>1</v>
      </c>
    </row>
    <row r="26" spans="5:7" ht="11.25">
      <c r="E26" s="4" t="s">
        <v>21</v>
      </c>
      <c r="F26" s="5">
        <v>3</v>
      </c>
      <c r="G26" s="5">
        <v>2</v>
      </c>
    </row>
    <row r="27" spans="6:7" ht="11.25">
      <c r="F27" s="5">
        <f>SUM(F25:F26)</f>
        <v>4</v>
      </c>
      <c r="G27" s="5">
        <f>SUM(G25:G26)</f>
        <v>3</v>
      </c>
    </row>
    <row r="29" spans="1:10" ht="11.25">
      <c r="A29" s="4" t="s">
        <v>19</v>
      </c>
      <c r="D29" s="6" t="s">
        <v>32</v>
      </c>
      <c r="E29" s="114" t="s">
        <v>8</v>
      </c>
      <c r="F29" s="114"/>
      <c r="G29" s="114" t="s">
        <v>9</v>
      </c>
      <c r="H29" s="114"/>
      <c r="I29" s="114" t="s">
        <v>10</v>
      </c>
      <c r="J29" s="114"/>
    </row>
    <row r="30" spans="3:10" ht="11.25">
      <c r="C30" s="7" t="s">
        <v>6</v>
      </c>
      <c r="D30" s="7" t="s">
        <v>7</v>
      </c>
      <c r="E30" s="7" t="s">
        <v>6</v>
      </c>
      <c r="F30" s="7" t="s">
        <v>7</v>
      </c>
      <c r="G30" s="7" t="s">
        <v>6</v>
      </c>
      <c r="H30" s="7" t="s">
        <v>7</v>
      </c>
      <c r="I30" s="7" t="s">
        <v>6</v>
      </c>
      <c r="J30" s="7" t="s">
        <v>7</v>
      </c>
    </row>
    <row r="31" spans="1:10" ht="11.25">
      <c r="A31" s="7"/>
      <c r="B31" s="7"/>
      <c r="C31" s="7" t="s">
        <v>158</v>
      </c>
      <c r="D31" s="7" t="s">
        <v>158</v>
      </c>
      <c r="E31" s="7" t="s">
        <v>158</v>
      </c>
      <c r="F31" s="7" t="s">
        <v>158</v>
      </c>
      <c r="G31" s="7" t="s">
        <v>158</v>
      </c>
      <c r="H31" s="7" t="s">
        <v>158</v>
      </c>
      <c r="I31" s="7" t="s">
        <v>158</v>
      </c>
      <c r="J31" s="7" t="s">
        <v>158</v>
      </c>
    </row>
    <row r="32" spans="1:10" ht="11.25">
      <c r="A32" s="4" t="s">
        <v>20</v>
      </c>
      <c r="C32" s="5">
        <f>ROUND($D$21*$B$24*$B$25*F25,0)</f>
        <v>12540</v>
      </c>
      <c r="D32" s="5">
        <f>ROUND($D$21*$B$24*$B$25*G25,0)</f>
        <v>12540</v>
      </c>
      <c r="E32" s="5">
        <f>ROUND($E$21*$B$24*$B$25*F25,0)</f>
        <v>12984</v>
      </c>
      <c r="F32" s="5">
        <f>ROUND($E$21*$B$24*$B$25*G25,0)</f>
        <v>12984</v>
      </c>
      <c r="G32" s="5">
        <f>ROUND($G$21*$B$24*$B$25*F25,0)</f>
        <v>13370</v>
      </c>
      <c r="H32" s="5">
        <f>ROUND($G$21*$B$24*$B$25*G25,0)</f>
        <v>13370</v>
      </c>
      <c r="I32" s="5">
        <f>ROUND($I$21*$B$24*$B$25*F25,0)</f>
        <v>13775</v>
      </c>
      <c r="J32" s="5">
        <f>ROUND($I$21*$B$24*$B$25*G25,0)</f>
        <v>13775</v>
      </c>
    </row>
    <row r="33" spans="1:10" ht="11.25">
      <c r="A33" s="4" t="s">
        <v>21</v>
      </c>
      <c r="C33" s="5">
        <f>ROUND($D$22*$B$24*$B$25*F26,0)</f>
        <v>31833</v>
      </c>
      <c r="D33" s="5">
        <f>ROUND($D$22*$B$24*$B$25*G26,0)</f>
        <v>21222</v>
      </c>
      <c r="E33" s="5">
        <f>ROUND($E$22*$B$24*$B$25*F26,0)</f>
        <v>32933</v>
      </c>
      <c r="F33" s="5">
        <f>ROUND($E$22*$B$24*$B$25*G26,0)</f>
        <v>21955</v>
      </c>
      <c r="G33" s="5">
        <f>ROUND($G$22*$B$24*$B$25*F26,0)</f>
        <v>33917</v>
      </c>
      <c r="H33" s="5">
        <f>ROUND($G$22*$B$24*$B$25*G26,0)</f>
        <v>22611</v>
      </c>
      <c r="I33" s="5">
        <f>ROUND($I$22*$B$24*$B$25*F26,0)</f>
        <v>34959</v>
      </c>
      <c r="J33" s="5">
        <f>ROUND($I$22*$B$24*$B$25*G26,0)</f>
        <v>23306</v>
      </c>
    </row>
    <row r="34" spans="3:10" ht="11.25">
      <c r="C34" s="5">
        <f aca="true" t="shared" si="4" ref="C34:J34">SUM(C32:C33)</f>
        <v>44373</v>
      </c>
      <c r="D34" s="5">
        <f t="shared" si="4"/>
        <v>33762</v>
      </c>
      <c r="E34" s="5">
        <f t="shared" si="4"/>
        <v>45917</v>
      </c>
      <c r="F34" s="5">
        <f t="shared" si="4"/>
        <v>34939</v>
      </c>
      <c r="G34" s="5">
        <f t="shared" si="4"/>
        <v>47287</v>
      </c>
      <c r="H34" s="5">
        <f t="shared" si="4"/>
        <v>35981</v>
      </c>
      <c r="I34" s="5">
        <f t="shared" si="4"/>
        <v>48734</v>
      </c>
      <c r="J34" s="5">
        <f t="shared" si="4"/>
        <v>37081</v>
      </c>
    </row>
    <row r="35" spans="1:10" ht="11.25">
      <c r="A35" s="4" t="s">
        <v>24</v>
      </c>
      <c r="C35" s="5"/>
      <c r="D35" s="5"/>
      <c r="E35" s="5"/>
      <c r="F35" s="5"/>
      <c r="G35" s="5"/>
      <c r="H35" s="5"/>
      <c r="I35" s="5"/>
      <c r="J35" s="5"/>
    </row>
    <row r="36" spans="1:10" ht="11.25">
      <c r="A36" s="4" t="s">
        <v>25</v>
      </c>
      <c r="B36" s="10">
        <v>0.09</v>
      </c>
      <c r="C36" s="5">
        <f aca="true" t="shared" si="5" ref="C36:J37">ROUND(C$34*$B36,0)</f>
        <v>3994</v>
      </c>
      <c r="D36" s="5">
        <f t="shared" si="5"/>
        <v>3039</v>
      </c>
      <c r="E36" s="5">
        <f t="shared" si="5"/>
        <v>4133</v>
      </c>
      <c r="F36" s="5">
        <f t="shared" si="5"/>
        <v>3145</v>
      </c>
      <c r="G36" s="5">
        <f t="shared" si="5"/>
        <v>4256</v>
      </c>
      <c r="H36" s="5">
        <f t="shared" si="5"/>
        <v>3238</v>
      </c>
      <c r="I36" s="5">
        <f t="shared" si="5"/>
        <v>4386</v>
      </c>
      <c r="J36" s="5">
        <f t="shared" si="5"/>
        <v>3337</v>
      </c>
    </row>
    <row r="37" spans="1:10" ht="11.25">
      <c r="A37" s="4" t="s">
        <v>26</v>
      </c>
      <c r="B37" s="10">
        <v>0.15</v>
      </c>
      <c r="C37" s="5">
        <f t="shared" si="5"/>
        <v>6656</v>
      </c>
      <c r="D37" s="5">
        <f t="shared" si="5"/>
        <v>5064</v>
      </c>
      <c r="E37" s="5">
        <f t="shared" si="5"/>
        <v>6888</v>
      </c>
      <c r="F37" s="5">
        <f t="shared" si="5"/>
        <v>5241</v>
      </c>
      <c r="G37" s="5">
        <f t="shared" si="5"/>
        <v>7093</v>
      </c>
      <c r="H37" s="5">
        <f t="shared" si="5"/>
        <v>5397</v>
      </c>
      <c r="I37" s="5">
        <f t="shared" si="5"/>
        <v>7310</v>
      </c>
      <c r="J37" s="5">
        <f t="shared" si="5"/>
        <v>5562</v>
      </c>
    </row>
    <row r="39" spans="1:10" ht="11.25">
      <c r="A39" s="4" t="s">
        <v>157</v>
      </c>
      <c r="C39" s="5">
        <f aca="true" t="shared" si="6" ref="C39:J39">SUM(C34:C38)</f>
        <v>55023</v>
      </c>
      <c r="D39" s="5">
        <f>SUM(D34:D38)</f>
        <v>41865</v>
      </c>
      <c r="E39" s="5">
        <f t="shared" si="6"/>
        <v>56938</v>
      </c>
      <c r="F39" s="5">
        <f t="shared" si="6"/>
        <v>43325</v>
      </c>
      <c r="G39" s="5">
        <f t="shared" si="6"/>
        <v>58636</v>
      </c>
      <c r="H39" s="5">
        <f t="shared" si="6"/>
        <v>44616</v>
      </c>
      <c r="I39" s="5">
        <f t="shared" si="6"/>
        <v>60430</v>
      </c>
      <c r="J39" s="5">
        <f t="shared" si="6"/>
        <v>45980</v>
      </c>
    </row>
    <row r="40" spans="3:10" ht="11.25">
      <c r="C40" s="5"/>
      <c r="D40" s="5"/>
      <c r="E40" s="5"/>
      <c r="F40" s="5"/>
      <c r="G40" s="5"/>
      <c r="H40" s="5"/>
      <c r="I40" s="5"/>
      <c r="J40" s="5"/>
    </row>
    <row r="41" spans="1:10" ht="11.25">
      <c r="A41" s="4" t="s">
        <v>22</v>
      </c>
      <c r="C41" s="5">
        <f>D18*C39</f>
        <v>770322</v>
      </c>
      <c r="D41" s="5">
        <v>0</v>
      </c>
      <c r="E41" s="5">
        <f aca="true" t="shared" si="7" ref="E41:J41">E18*E39</f>
        <v>455504</v>
      </c>
      <c r="F41" s="5">
        <f t="shared" si="7"/>
        <v>389925</v>
      </c>
      <c r="G41" s="5">
        <f t="shared" si="7"/>
        <v>234544</v>
      </c>
      <c r="H41" s="5">
        <f t="shared" si="7"/>
        <v>535392</v>
      </c>
      <c r="I41" s="5">
        <f t="shared" si="7"/>
        <v>0</v>
      </c>
      <c r="J41" s="5">
        <f t="shared" si="7"/>
        <v>735680</v>
      </c>
    </row>
    <row r="43" ht="11.25">
      <c r="D43" s="6" t="s">
        <v>32</v>
      </c>
    </row>
    <row r="44" ht="11.25">
      <c r="D44" s="7" t="s">
        <v>7</v>
      </c>
    </row>
    <row r="45" ht="11.25">
      <c r="D45" s="7" t="s">
        <v>158</v>
      </c>
    </row>
    <row r="46" spans="1:4" ht="11.25">
      <c r="A46" s="4" t="s">
        <v>20</v>
      </c>
      <c r="D46" s="5">
        <f>ROUND($D$21*$B$24*$B$25*G25,0)</f>
        <v>12540</v>
      </c>
    </row>
    <row r="47" spans="1:4" ht="11.25">
      <c r="A47" s="4" t="s">
        <v>21</v>
      </c>
      <c r="D47" s="5">
        <f>ROUND($D$22*$B$24*$B$25*G26,0)</f>
        <v>21222</v>
      </c>
    </row>
    <row r="48" ht="11.25">
      <c r="D48" s="5">
        <f>SUM(D46:D47)</f>
        <v>33762</v>
      </c>
    </row>
    <row r="49" ht="11.25">
      <c r="A49" s="4" t="s">
        <v>24</v>
      </c>
    </row>
    <row r="50" spans="1:4" ht="11.25">
      <c r="A50" s="4" t="s">
        <v>25</v>
      </c>
      <c r="D50" s="5">
        <f>ROUND(D$48*B36,0)</f>
        <v>3039</v>
      </c>
    </row>
    <row r="51" spans="1:4" ht="11.25">
      <c r="A51" s="4" t="s">
        <v>26</v>
      </c>
      <c r="D51" s="5">
        <f>ROUND(D$48*B37,0)</f>
        <v>5064</v>
      </c>
    </row>
    <row r="53" spans="1:4" ht="11.25">
      <c r="A53" s="4" t="s">
        <v>157</v>
      </c>
      <c r="D53" s="5">
        <f>SUM(D48:D52)</f>
        <v>41865</v>
      </c>
    </row>
    <row r="55" ht="11.25">
      <c r="A55" s="4" t="s">
        <v>22</v>
      </c>
    </row>
    <row r="57" spans="1:4" ht="11.25">
      <c r="A57" s="4" t="s">
        <v>179</v>
      </c>
      <c r="D57" s="5">
        <f>D18*F27</f>
        <v>56</v>
      </c>
    </row>
    <row r="58" ht="11.25">
      <c r="D58" s="5"/>
    </row>
    <row r="59" ht="11.25">
      <c r="D59" s="7" t="s">
        <v>158</v>
      </c>
    </row>
    <row r="60" spans="1:4" ht="11.25">
      <c r="A60" s="4" t="s">
        <v>180</v>
      </c>
      <c r="D60" s="5">
        <v>350</v>
      </c>
    </row>
    <row r="62" spans="1:4" ht="11.25">
      <c r="A62" s="4" t="s">
        <v>181</v>
      </c>
      <c r="D62" s="5">
        <v>3500</v>
      </c>
    </row>
  </sheetData>
  <mergeCells count="20">
    <mergeCell ref="E29:F29"/>
    <mergeCell ref="G29:H29"/>
    <mergeCell ref="I29:J29"/>
    <mergeCell ref="B12:C12"/>
    <mergeCell ref="I13:J13"/>
    <mergeCell ref="E20:F20"/>
    <mergeCell ref="E21:F21"/>
    <mergeCell ref="E22:F22"/>
    <mergeCell ref="G21:H21"/>
    <mergeCell ref="G22:H22"/>
    <mergeCell ref="I2:J2"/>
    <mergeCell ref="E12:J12"/>
    <mergeCell ref="I21:J21"/>
    <mergeCell ref="I22:J22"/>
    <mergeCell ref="I20:J20"/>
    <mergeCell ref="G20:H20"/>
    <mergeCell ref="E13:F13"/>
    <mergeCell ref="G13:H13"/>
    <mergeCell ref="E2:F2"/>
    <mergeCell ref="G2:H2"/>
  </mergeCells>
  <printOptions horizontalCentered="1"/>
  <pageMargins left="0.7480314960629921" right="0.7480314960629921" top="0.78" bottom="0.79" header="0.5118110236220472" footer="0.5118110236220472"/>
  <pageSetup horizontalDpi="200" verticalDpi="200" orientation="landscape" paperSize="9" r:id="rId1"/>
  <headerFooter alignWithMargins="0">
    <oddFooter>&amp;L&amp;F   &amp;A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13"/>
  <sheetViews>
    <sheetView zoomScale="75" zoomScaleNormal="75" workbookViewId="0" topLeftCell="A75">
      <selection activeCell="M96" sqref="M96:M107"/>
    </sheetView>
  </sheetViews>
  <sheetFormatPr defaultColWidth="9.140625" defaultRowHeight="12.75"/>
  <cols>
    <col min="1" max="1" width="25.140625" style="4" bestFit="1" customWidth="1"/>
    <col min="2" max="2" width="10.140625" style="4" bestFit="1" customWidth="1"/>
    <col min="3" max="3" width="10.8515625" style="4" bestFit="1" customWidth="1"/>
    <col min="4" max="4" width="11.140625" style="4" bestFit="1" customWidth="1"/>
    <col min="5" max="5" width="9.140625" style="4" bestFit="1" customWidth="1"/>
    <col min="6" max="7" width="10.140625" style="4" bestFit="1" customWidth="1"/>
    <col min="8" max="10" width="9.140625" style="4" customWidth="1"/>
    <col min="11" max="11" width="10.140625" style="4" bestFit="1" customWidth="1"/>
    <col min="12" max="12" width="9.140625" style="4" customWidth="1"/>
    <col min="13" max="13" width="11.140625" style="4" bestFit="1" customWidth="1"/>
    <col min="14" max="17" width="9.140625" style="4" customWidth="1"/>
    <col min="18" max="18" width="10.140625" style="4" bestFit="1" customWidth="1"/>
    <col min="19" max="16384" width="9.140625" style="4" customWidth="1"/>
  </cols>
  <sheetData>
    <row r="1" spans="1:3" ht="11.25">
      <c r="A1" s="4" t="s">
        <v>58</v>
      </c>
      <c r="C1" s="10">
        <v>0.45</v>
      </c>
    </row>
    <row r="2" ht="11.25">
      <c r="C2" s="10"/>
    </row>
    <row r="3" spans="1:4" ht="11.25">
      <c r="A3" s="4" t="s">
        <v>53</v>
      </c>
      <c r="C3" s="10" t="s">
        <v>59</v>
      </c>
      <c r="D3" s="10" t="s">
        <v>60</v>
      </c>
    </row>
    <row r="4" spans="1:4" ht="11.25">
      <c r="A4" s="4" t="s">
        <v>47</v>
      </c>
      <c r="C4" s="5">
        <v>10000</v>
      </c>
      <c r="D4" s="5">
        <f>ROUND(C4*(1+C$1),0)</f>
        <v>14500</v>
      </c>
    </row>
    <row r="5" spans="1:4" ht="11.25">
      <c r="A5" s="4" t="s">
        <v>95</v>
      </c>
      <c r="C5" s="5">
        <v>689.5</v>
      </c>
      <c r="D5" s="5">
        <f>ROUND(C5*(1+C$1),0)</f>
        <v>1000</v>
      </c>
    </row>
    <row r="7" spans="1:6" ht="11.25">
      <c r="A7" s="3" t="s">
        <v>51</v>
      </c>
      <c r="C7" s="15" t="s">
        <v>32</v>
      </c>
      <c r="D7" s="4" t="s">
        <v>8</v>
      </c>
      <c r="E7" s="4" t="s">
        <v>9</v>
      </c>
      <c r="F7" s="4" t="s">
        <v>10</v>
      </c>
    </row>
    <row r="8" spans="3:6" ht="11.25">
      <c r="C8" s="10"/>
      <c r="D8" s="10"/>
      <c r="E8" s="10"/>
      <c r="F8" s="10"/>
    </row>
    <row r="9" ht="11.25">
      <c r="A9" s="4" t="s">
        <v>52</v>
      </c>
    </row>
    <row r="10" spans="1:6" ht="11.25">
      <c r="A10" s="4" t="s">
        <v>47</v>
      </c>
      <c r="C10" s="5">
        <f>'Refuse Teams'!D18+1</f>
        <v>15</v>
      </c>
      <c r="D10" s="5">
        <f>'Refuse Teams'!E18+'Refuse Teams'!F18+1</f>
        <v>18</v>
      </c>
      <c r="E10" s="5">
        <f>'Refuse Teams'!G18+'Refuse Teams'!H18+1</f>
        <v>17</v>
      </c>
      <c r="F10" s="5">
        <f>'Refuse Teams'!I18+'Refuse Teams'!J18+1</f>
        <v>17</v>
      </c>
    </row>
    <row r="11" spans="1:6" ht="11.25">
      <c r="A11" s="4" t="s">
        <v>95</v>
      </c>
      <c r="C11" s="5">
        <v>0</v>
      </c>
      <c r="D11" s="5">
        <f>'Refuse Teams'!F18</f>
        <v>9</v>
      </c>
      <c r="E11" s="5">
        <f>'Refuse Teams'!H18</f>
        <v>12</v>
      </c>
      <c r="F11" s="5">
        <f>'Refuse Teams'!J18</f>
        <v>16</v>
      </c>
    </row>
    <row r="13" spans="1:6" ht="11.25">
      <c r="A13" s="4" t="s">
        <v>54</v>
      </c>
      <c r="C13" s="15" t="s">
        <v>32</v>
      </c>
      <c r="D13" s="4" t="s">
        <v>8</v>
      </c>
      <c r="E13" s="4" t="s">
        <v>9</v>
      </c>
      <c r="F13" s="4" t="s">
        <v>10</v>
      </c>
    </row>
    <row r="14" spans="1:6" ht="11.25">
      <c r="A14" s="4" t="s">
        <v>55</v>
      </c>
      <c r="C14" s="10">
        <v>0</v>
      </c>
      <c r="D14" s="19">
        <f>'Original target'!C2</f>
        <v>0.035</v>
      </c>
      <c r="E14" s="19">
        <f>'Original target'!D2</f>
        <v>0.03</v>
      </c>
      <c r="F14" s="19">
        <f>'Original target'!E2</f>
        <v>0.03</v>
      </c>
    </row>
    <row r="15" spans="1:6" ht="11.25">
      <c r="A15" s="4" t="s">
        <v>47</v>
      </c>
      <c r="C15" s="5">
        <f>D4</f>
        <v>14500</v>
      </c>
      <c r="D15" s="5">
        <f aca="true" t="shared" si="0" ref="D15:F16">ROUND(C15*(1+D$14),0)</f>
        <v>15008</v>
      </c>
      <c r="E15" s="5">
        <f t="shared" si="0"/>
        <v>15458</v>
      </c>
      <c r="F15" s="5">
        <f t="shared" si="0"/>
        <v>15922</v>
      </c>
    </row>
    <row r="16" spans="1:6" ht="11.25">
      <c r="A16" s="4" t="s">
        <v>95</v>
      </c>
      <c r="C16" s="5">
        <f>D5</f>
        <v>1000</v>
      </c>
      <c r="D16" s="5">
        <f t="shared" si="0"/>
        <v>1035</v>
      </c>
      <c r="E16" s="5">
        <f t="shared" si="0"/>
        <v>1066</v>
      </c>
      <c r="F16" s="5">
        <f t="shared" si="0"/>
        <v>1098</v>
      </c>
    </row>
    <row r="17" ht="11.25">
      <c r="A17" s="15"/>
    </row>
    <row r="18" ht="11.25">
      <c r="A18" s="4" t="s">
        <v>57</v>
      </c>
    </row>
    <row r="19" spans="1:6" ht="11.25">
      <c r="A19" s="4" t="s">
        <v>47</v>
      </c>
      <c r="C19" s="5">
        <f aca="true" t="shared" si="1" ref="C19:F20">C10*C15</f>
        <v>217500</v>
      </c>
      <c r="D19" s="5">
        <f t="shared" si="1"/>
        <v>270144</v>
      </c>
      <c r="E19" s="5">
        <f t="shared" si="1"/>
        <v>262786</v>
      </c>
      <c r="F19" s="5">
        <f t="shared" si="1"/>
        <v>270674</v>
      </c>
    </row>
    <row r="20" spans="1:6" ht="11.25">
      <c r="A20" s="4" t="s">
        <v>95</v>
      </c>
      <c r="C20" s="5">
        <f t="shared" si="1"/>
        <v>0</v>
      </c>
      <c r="D20" s="5">
        <f t="shared" si="1"/>
        <v>9315</v>
      </c>
      <c r="E20" s="5">
        <f t="shared" si="1"/>
        <v>12792</v>
      </c>
      <c r="F20" s="5">
        <f t="shared" si="1"/>
        <v>17568</v>
      </c>
    </row>
    <row r="21" spans="1:6" ht="11.25">
      <c r="A21" s="4" t="s">
        <v>56</v>
      </c>
      <c r="C21" s="5">
        <f>SUM(C19:C20)</f>
        <v>217500</v>
      </c>
      <c r="D21" s="5">
        <f>SUM(D19:D20)</f>
        <v>279459</v>
      </c>
      <c r="E21" s="5">
        <f>SUM(E19:E20)</f>
        <v>275578</v>
      </c>
      <c r="F21" s="5">
        <f>SUM(F19:F20)</f>
        <v>288242</v>
      </c>
    </row>
    <row r="22" spans="3:6" ht="11.25">
      <c r="C22" s="5"/>
      <c r="D22" s="5"/>
      <c r="E22" s="5"/>
      <c r="F22" s="5"/>
    </row>
    <row r="23" ht="11.25">
      <c r="A23" s="4" t="s">
        <v>61</v>
      </c>
    </row>
    <row r="25" spans="1:6" ht="11.25">
      <c r="A25" s="4" t="s">
        <v>64</v>
      </c>
      <c r="C25" s="10" t="s">
        <v>59</v>
      </c>
      <c r="D25" s="10" t="s">
        <v>60</v>
      </c>
      <c r="F25" s="4" t="s">
        <v>62</v>
      </c>
    </row>
    <row r="26" spans="1:6" ht="11.25">
      <c r="A26" s="4" t="s">
        <v>47</v>
      </c>
      <c r="C26" s="5">
        <v>50000</v>
      </c>
      <c r="D26" s="5">
        <f>ROUND(C26*(1+C$1),0)</f>
        <v>72500</v>
      </c>
      <c r="F26" s="4">
        <v>6</v>
      </c>
    </row>
    <row r="27" spans="1:6" ht="11.25">
      <c r="A27" s="4" t="s">
        <v>95</v>
      </c>
      <c r="C27" s="5">
        <v>11000</v>
      </c>
      <c r="D27" s="5">
        <f>ROUND(C27*(1+C$1),0)</f>
        <v>15950</v>
      </c>
      <c r="F27" s="4">
        <v>6</v>
      </c>
    </row>
    <row r="31" spans="3:6" ht="11.25">
      <c r="C31" s="15" t="s">
        <v>32</v>
      </c>
      <c r="D31" s="4" t="s">
        <v>8</v>
      </c>
      <c r="E31" s="4" t="s">
        <v>9</v>
      </c>
      <c r="F31" s="4" t="s">
        <v>10</v>
      </c>
    </row>
    <row r="32" spans="3:6" ht="11.25">
      <c r="C32" s="10">
        <v>0</v>
      </c>
      <c r="D32" s="10">
        <v>0</v>
      </c>
      <c r="E32" s="10">
        <v>0</v>
      </c>
      <c r="F32" s="10">
        <v>0</v>
      </c>
    </row>
    <row r="33" spans="1:6" ht="11.25">
      <c r="A33" s="4" t="s">
        <v>47</v>
      </c>
      <c r="C33" s="5">
        <f>D26</f>
        <v>72500</v>
      </c>
      <c r="D33" s="5">
        <f aca="true" t="shared" si="2" ref="D33:F34">ROUND(C33*(1+D$32),0)</f>
        <v>72500</v>
      </c>
      <c r="E33" s="5">
        <f t="shared" si="2"/>
        <v>72500</v>
      </c>
      <c r="F33" s="5">
        <f t="shared" si="2"/>
        <v>72500</v>
      </c>
    </row>
    <row r="34" spans="1:6" ht="11.25">
      <c r="A34" s="4" t="s">
        <v>95</v>
      </c>
      <c r="C34" s="5">
        <f>D27</f>
        <v>15950</v>
      </c>
      <c r="D34" s="5">
        <f t="shared" si="2"/>
        <v>15950</v>
      </c>
      <c r="E34" s="5">
        <f t="shared" si="2"/>
        <v>15950</v>
      </c>
      <c r="F34" s="5">
        <f t="shared" si="2"/>
        <v>15950</v>
      </c>
    </row>
    <row r="36" ht="11.25" hidden="1">
      <c r="A36" s="4" t="s">
        <v>66</v>
      </c>
    </row>
    <row r="37" ht="11.25" hidden="1"/>
    <row r="38" spans="1:6" ht="11.25" hidden="1">
      <c r="A38" s="4" t="s">
        <v>47</v>
      </c>
      <c r="C38" s="5">
        <f>ROUND(C33/$F26,0)</f>
        <v>12083</v>
      </c>
      <c r="D38" s="5">
        <f>ROUND(D33/$F26,0)</f>
        <v>12083</v>
      </c>
      <c r="E38" s="5">
        <f>ROUND(E33/$F26,0)</f>
        <v>12083</v>
      </c>
      <c r="F38" s="5">
        <f>ROUND(F33/$F26,0)</f>
        <v>12083</v>
      </c>
    </row>
    <row r="39" spans="1:6" ht="11.25" hidden="1">
      <c r="A39" s="4" t="s">
        <v>48</v>
      </c>
      <c r="C39" s="5" t="e">
        <f>ROUND(#REF!/#REF!,0)</f>
        <v>#REF!</v>
      </c>
      <c r="D39" s="5" t="e">
        <f>ROUND(#REF!/#REF!,0)</f>
        <v>#REF!</v>
      </c>
      <c r="E39" s="5" t="e">
        <f>ROUND(#REF!/#REF!,0)</f>
        <v>#REF!</v>
      </c>
      <c r="F39" s="5" t="e">
        <f>ROUND(#REF!/#REF!,0)</f>
        <v>#REF!</v>
      </c>
    </row>
    <row r="40" spans="1:6" ht="11.25" hidden="1">
      <c r="A40" s="4" t="s">
        <v>49</v>
      </c>
      <c r="C40" s="5" t="e">
        <f>ROUND(#REF!/#REF!,0)</f>
        <v>#REF!</v>
      </c>
      <c r="D40" s="5" t="e">
        <f>ROUND(#REF!/#REF!,0)</f>
        <v>#REF!</v>
      </c>
      <c r="E40" s="5" t="e">
        <f>ROUND(#REF!/#REF!,0)</f>
        <v>#REF!</v>
      </c>
      <c r="F40" s="5" t="e">
        <f>ROUND(#REF!/#REF!,0)</f>
        <v>#REF!</v>
      </c>
    </row>
    <row r="41" spans="1:6" ht="11.25" hidden="1">
      <c r="A41" s="4" t="s">
        <v>50</v>
      </c>
      <c r="C41" s="5">
        <f>ROUND(C34/$F27,0)</f>
        <v>2658</v>
      </c>
      <c r="D41" s="5">
        <f>ROUND(D34/$F27,0)</f>
        <v>2658</v>
      </c>
      <c r="E41" s="5">
        <f>ROUND(E34/$F27,0)</f>
        <v>2658</v>
      </c>
      <c r="F41" s="5">
        <f>ROUND(F34/$F27,0)</f>
        <v>2658</v>
      </c>
    </row>
    <row r="42" ht="11.25" hidden="1"/>
    <row r="43" ht="11.25" hidden="1">
      <c r="A43" s="4" t="s">
        <v>67</v>
      </c>
    </row>
    <row r="44" spans="1:6" ht="11.25" hidden="1">
      <c r="A44" s="4" t="s">
        <v>47</v>
      </c>
      <c r="C44" s="5">
        <f>C10*C38</f>
        <v>181245</v>
      </c>
      <c r="D44" s="5">
        <f>D10*D38</f>
        <v>217494</v>
      </c>
      <c r="E44" s="5">
        <f>E10*E38</f>
        <v>205411</v>
      </c>
      <c r="F44" s="5">
        <f>F10*F38</f>
        <v>205411</v>
      </c>
    </row>
    <row r="45" spans="1:6" ht="11.25" hidden="1">
      <c r="A45" s="4" t="s">
        <v>48</v>
      </c>
      <c r="C45" s="5" t="e">
        <f>#REF!*C39</f>
        <v>#REF!</v>
      </c>
      <c r="D45" s="5" t="e">
        <f>#REF!*D39</f>
        <v>#REF!</v>
      </c>
      <c r="E45" s="5" t="e">
        <f>#REF!*E39</f>
        <v>#REF!</v>
      </c>
      <c r="F45" s="5" t="e">
        <f>#REF!*F39</f>
        <v>#REF!</v>
      </c>
    </row>
    <row r="46" spans="1:6" ht="11.25" hidden="1">
      <c r="A46" s="4" t="s">
        <v>49</v>
      </c>
      <c r="C46" s="5" t="e">
        <f>#REF!*C40</f>
        <v>#REF!</v>
      </c>
      <c r="D46" s="5" t="e">
        <f>#REF!*D40</f>
        <v>#REF!</v>
      </c>
      <c r="E46" s="5" t="e">
        <f>#REF!*E40</f>
        <v>#REF!</v>
      </c>
      <c r="F46" s="5" t="e">
        <f>#REF!*F40</f>
        <v>#REF!</v>
      </c>
    </row>
    <row r="47" spans="1:6" ht="11.25" hidden="1">
      <c r="A47" s="4" t="s">
        <v>50</v>
      </c>
      <c r="C47" s="5" t="e">
        <f>#REF!*C41</f>
        <v>#REF!</v>
      </c>
      <c r="D47" s="5" t="e">
        <f>#REF!*D41</f>
        <v>#REF!</v>
      </c>
      <c r="E47" s="5" t="e">
        <f>#REF!*E41</f>
        <v>#REF!</v>
      </c>
      <c r="F47" s="5" t="e">
        <f>#REF!*F41</f>
        <v>#REF!</v>
      </c>
    </row>
    <row r="48" ht="11.25" hidden="1"/>
    <row r="49" ht="11.25" hidden="1"/>
    <row r="50" ht="11.25" hidden="1">
      <c r="A50" s="4" t="s">
        <v>65</v>
      </c>
    </row>
    <row r="51" ht="11.25" hidden="1"/>
    <row r="52" ht="11.25" hidden="1">
      <c r="A52" s="4" t="s">
        <v>63</v>
      </c>
    </row>
    <row r="53" ht="11.25" hidden="1"/>
    <row r="54" spans="1:6" ht="11.25" hidden="1">
      <c r="A54" s="4" t="s">
        <v>47</v>
      </c>
      <c r="C54" s="5">
        <f>ROUND(C33*$B$67,0)</f>
        <v>3625</v>
      </c>
      <c r="D54" s="5">
        <f>ROUND(D33*$B$67,0)</f>
        <v>3625</v>
      </c>
      <c r="E54" s="5">
        <f>ROUND(E33*$B$67,0)</f>
        <v>3625</v>
      </c>
      <c r="F54" s="5">
        <f>ROUND(F33*$B$67,0)</f>
        <v>3625</v>
      </c>
    </row>
    <row r="55" spans="1:6" ht="11.25" hidden="1">
      <c r="A55" s="4" t="s">
        <v>48</v>
      </c>
      <c r="C55" s="5" t="e">
        <f>ROUND(#REF!*$B$67,0)</f>
        <v>#REF!</v>
      </c>
      <c r="D55" s="5" t="e">
        <f>ROUND(#REF!*$B$67,0)</f>
        <v>#REF!</v>
      </c>
      <c r="E55" s="5" t="e">
        <f>ROUND(#REF!*$B$67,0)</f>
        <v>#REF!</v>
      </c>
      <c r="F55" s="5" t="e">
        <f>ROUND(#REF!*$B$67,0)</f>
        <v>#REF!</v>
      </c>
    </row>
    <row r="56" spans="1:6" ht="11.25" hidden="1">
      <c r="A56" s="4" t="s">
        <v>49</v>
      </c>
      <c r="C56" s="5" t="e">
        <f>ROUND(#REF!*$B$67,0)</f>
        <v>#REF!</v>
      </c>
      <c r="D56" s="5" t="e">
        <f>ROUND(#REF!*$B$67,0)</f>
        <v>#REF!</v>
      </c>
      <c r="E56" s="5" t="e">
        <f>ROUND(#REF!*$B$67,0)</f>
        <v>#REF!</v>
      </c>
      <c r="F56" s="5" t="e">
        <f>ROUND(#REF!*$B$67,0)</f>
        <v>#REF!</v>
      </c>
    </row>
    <row r="57" spans="1:6" ht="11.25" hidden="1">
      <c r="A57" s="4" t="s">
        <v>50</v>
      </c>
      <c r="C57" s="5">
        <f>ROUND(C34*$B$67,0)</f>
        <v>798</v>
      </c>
      <c r="D57" s="5">
        <f>ROUND(D34*$B$67,0)</f>
        <v>798</v>
      </c>
      <c r="E57" s="5">
        <f>ROUND(E34*$B$67,0)</f>
        <v>798</v>
      </c>
      <c r="F57" s="5">
        <f>ROUND(F34*$B$67,0)</f>
        <v>798</v>
      </c>
    </row>
    <row r="58" ht="11.25" hidden="1"/>
    <row r="59" ht="11.25" hidden="1">
      <c r="A59" s="4" t="s">
        <v>68</v>
      </c>
    </row>
    <row r="60" spans="1:6" ht="11.25" hidden="1">
      <c r="A60" s="4" t="s">
        <v>47</v>
      </c>
      <c r="C60" s="5">
        <f>C10*C54</f>
        <v>54375</v>
      </c>
      <c r="D60" s="5">
        <f>D10*D54</f>
        <v>65250</v>
      </c>
      <c r="E60" s="5">
        <f>E10*E54</f>
        <v>61625</v>
      </c>
      <c r="F60" s="5">
        <f>F10*F54</f>
        <v>61625</v>
      </c>
    </row>
    <row r="61" spans="1:6" ht="11.25" hidden="1">
      <c r="A61" s="4" t="s">
        <v>48</v>
      </c>
      <c r="C61" s="5" t="e">
        <f>#REF!*C55</f>
        <v>#REF!</v>
      </c>
      <c r="D61" s="5" t="e">
        <f>#REF!*D55</f>
        <v>#REF!</v>
      </c>
      <c r="E61" s="5" t="e">
        <f>#REF!*E55</f>
        <v>#REF!</v>
      </c>
      <c r="F61" s="5" t="e">
        <f>#REF!*F55</f>
        <v>#REF!</v>
      </c>
    </row>
    <row r="62" spans="1:6" ht="11.25" hidden="1">
      <c r="A62" s="4" t="s">
        <v>49</v>
      </c>
      <c r="C62" s="5" t="e">
        <f>#REF!*C56</f>
        <v>#REF!</v>
      </c>
      <c r="D62" s="5" t="e">
        <f>#REF!*D56</f>
        <v>#REF!</v>
      </c>
      <c r="E62" s="5" t="e">
        <f>#REF!*E56</f>
        <v>#REF!</v>
      </c>
      <c r="F62" s="5" t="e">
        <f>#REF!*F56</f>
        <v>#REF!</v>
      </c>
    </row>
    <row r="63" spans="1:6" ht="11.25" hidden="1">
      <c r="A63" s="4" t="s">
        <v>50</v>
      </c>
      <c r="C63" s="5" t="e">
        <f>#REF!*C57</f>
        <v>#REF!</v>
      </c>
      <c r="D63" s="5" t="e">
        <f>#REF!*D57</f>
        <v>#REF!</v>
      </c>
      <c r="E63" s="5" t="e">
        <f>#REF!*E57</f>
        <v>#REF!</v>
      </c>
      <c r="F63" s="5" t="e">
        <f>#REF!*F57</f>
        <v>#REF!</v>
      </c>
    </row>
    <row r="64" ht="11.25" hidden="1"/>
    <row r="65" ht="11.25" hidden="1">
      <c r="A65" s="4" t="s">
        <v>61</v>
      </c>
    </row>
    <row r="67" spans="1:2" ht="11.25">
      <c r="A67" s="4" t="s">
        <v>73</v>
      </c>
      <c r="B67" s="10">
        <v>0.05</v>
      </c>
    </row>
    <row r="69" spans="3:18" ht="11.25">
      <c r="C69" s="116" t="s">
        <v>32</v>
      </c>
      <c r="D69" s="116"/>
      <c r="E69" s="116"/>
      <c r="F69" s="116"/>
      <c r="G69" s="116" t="s">
        <v>8</v>
      </c>
      <c r="H69" s="116"/>
      <c r="I69" s="116"/>
      <c r="J69" s="116"/>
      <c r="K69" s="116" t="s">
        <v>9</v>
      </c>
      <c r="L69" s="116"/>
      <c r="M69" s="116"/>
      <c r="N69" s="116"/>
      <c r="O69" s="116" t="s">
        <v>10</v>
      </c>
      <c r="P69" s="116"/>
      <c r="Q69" s="116"/>
      <c r="R69" s="116"/>
    </row>
    <row r="70" spans="2:18" ht="11.25">
      <c r="B70" s="4" t="s">
        <v>70</v>
      </c>
      <c r="C70" s="4" t="s">
        <v>71</v>
      </c>
      <c r="D70" s="4" t="s">
        <v>72</v>
      </c>
      <c r="E70" s="4" t="s">
        <v>110</v>
      </c>
      <c r="F70" s="4" t="s">
        <v>73</v>
      </c>
      <c r="G70" s="4" t="s">
        <v>71</v>
      </c>
      <c r="H70" s="4" t="s">
        <v>72</v>
      </c>
      <c r="I70" s="4" t="s">
        <v>110</v>
      </c>
      <c r="J70" s="4" t="s">
        <v>73</v>
      </c>
      <c r="K70" s="4" t="s">
        <v>71</v>
      </c>
      <c r="L70" s="4" t="s">
        <v>72</v>
      </c>
      <c r="M70" s="4" t="s">
        <v>110</v>
      </c>
      <c r="N70" s="4" t="s">
        <v>73</v>
      </c>
      <c r="O70" s="4" t="s">
        <v>71</v>
      </c>
      <c r="P70" s="4" t="s">
        <v>72</v>
      </c>
      <c r="Q70" s="4" t="s">
        <v>110</v>
      </c>
      <c r="R70" s="4" t="s">
        <v>73</v>
      </c>
    </row>
    <row r="71" spans="1:18" ht="11.25">
      <c r="A71" s="4" t="s">
        <v>47</v>
      </c>
      <c r="B71" s="5" t="s">
        <v>74</v>
      </c>
      <c r="C71" s="5">
        <v>8</v>
      </c>
      <c r="D71" s="5">
        <f aca="true" t="shared" si="3" ref="D71:D85">IF(C71&gt;($A$74-1),$A$77,ROUND($C$33-(($C$33-$A$77)/$A$74*C71),0))</f>
        <v>5000</v>
      </c>
      <c r="E71" s="5">
        <f aca="true" t="shared" si="4" ref="E71:E85">IF(C71&gt;($A$74),0,ROUND((C$33-$A$77)/$A$74,0))</f>
        <v>0</v>
      </c>
      <c r="F71" s="5">
        <f>ROUND(D71*$B$67,0)</f>
        <v>250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2:18" ht="11.25">
      <c r="B72" s="5" t="s">
        <v>75</v>
      </c>
      <c r="C72" s="5">
        <v>7</v>
      </c>
      <c r="D72" s="5">
        <f t="shared" si="3"/>
        <v>5000</v>
      </c>
      <c r="E72" s="5">
        <f t="shared" si="4"/>
        <v>0</v>
      </c>
      <c r="F72" s="5">
        <f aca="true" t="shared" si="5" ref="F72:F85">ROUND(D72*B$67,0)</f>
        <v>250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</row>
    <row r="73" spans="1:18" ht="11.25">
      <c r="A73" s="4" t="s">
        <v>69</v>
      </c>
      <c r="B73" s="5" t="s">
        <v>76</v>
      </c>
      <c r="C73" s="5">
        <v>6</v>
      </c>
      <c r="D73" s="5">
        <f t="shared" si="3"/>
        <v>5000</v>
      </c>
      <c r="E73" s="5">
        <f t="shared" si="4"/>
        <v>11250</v>
      </c>
      <c r="F73" s="5">
        <f t="shared" si="5"/>
        <v>250</v>
      </c>
      <c r="G73" s="5">
        <f aca="true" t="shared" si="6" ref="G73:G85">C73+1</f>
        <v>7</v>
      </c>
      <c r="H73" s="5">
        <f>IF(G73&gt;($A$74-1),$A$77,ROUND($D$33-(($D$33-$A$77)/$A$74*G73),0))</f>
        <v>5000</v>
      </c>
      <c r="I73" s="5">
        <f aca="true" t="shared" si="7" ref="I73:I87">IF(G73&gt;($A$74),0,ROUND((D$33-$A$77)/$A$74,0))</f>
        <v>0</v>
      </c>
      <c r="J73" s="5">
        <f aca="true" t="shared" si="8" ref="J73:J87">ROUND(H73*$B$67,0)</f>
        <v>250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1:18" ht="11.25">
      <c r="A74" s="7">
        <v>6</v>
      </c>
      <c r="B74" s="5" t="s">
        <v>77</v>
      </c>
      <c r="C74" s="5">
        <v>6</v>
      </c>
      <c r="D74" s="5">
        <f t="shared" si="3"/>
        <v>5000</v>
      </c>
      <c r="E74" s="5">
        <f t="shared" si="4"/>
        <v>11250</v>
      </c>
      <c r="F74" s="5">
        <f t="shared" si="5"/>
        <v>250</v>
      </c>
      <c r="G74" s="5">
        <f t="shared" si="6"/>
        <v>7</v>
      </c>
      <c r="H74" s="5">
        <f aca="true" t="shared" si="9" ref="H74:H87">IF(G74&gt;($A$74-1),$A$77,ROUND($D$33-(($D$33-$A$77)/$A$74*G74),0))</f>
        <v>5000</v>
      </c>
      <c r="I74" s="5">
        <f t="shared" si="7"/>
        <v>0</v>
      </c>
      <c r="J74" s="5">
        <f t="shared" si="8"/>
        <v>250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</row>
    <row r="75" spans="2:18" ht="11.25">
      <c r="B75" s="5" t="s">
        <v>78</v>
      </c>
      <c r="C75" s="5">
        <v>5</v>
      </c>
      <c r="D75" s="5">
        <f>IF(C75&gt;($A$74-1),$A$77,ROUND($C$33-(($C$33-$A$77)/$A$74*C75),0))</f>
        <v>16250</v>
      </c>
      <c r="E75" s="5">
        <f t="shared" si="4"/>
        <v>11250</v>
      </c>
      <c r="F75" s="5">
        <f t="shared" si="5"/>
        <v>813</v>
      </c>
      <c r="G75" s="5">
        <f t="shared" si="6"/>
        <v>6</v>
      </c>
      <c r="H75" s="5">
        <f t="shared" si="9"/>
        <v>5000</v>
      </c>
      <c r="I75" s="5">
        <f t="shared" si="7"/>
        <v>11250</v>
      </c>
      <c r="J75" s="5">
        <f t="shared" si="8"/>
        <v>250</v>
      </c>
      <c r="K75" s="5">
        <f aca="true" t="shared" si="10" ref="K75:K87">G75+1</f>
        <v>7</v>
      </c>
      <c r="L75" s="5">
        <f>IF(K75&gt;($A$74-1),$A$77,ROUND($E$33-(($E$33-$A$77)/$A$74*K75),0))</f>
        <v>5000</v>
      </c>
      <c r="M75" s="5">
        <f aca="true" t="shared" si="11" ref="M75:M89">IF(K75&gt;($A$74),0,ROUND((E$33-$A$77)/$A$74,0))</f>
        <v>0</v>
      </c>
      <c r="N75" s="5">
        <f aca="true" t="shared" si="12" ref="N75:N89">ROUND(L75*$B$67,0)</f>
        <v>250</v>
      </c>
      <c r="O75" s="5">
        <v>0</v>
      </c>
      <c r="P75" s="5">
        <v>0</v>
      </c>
      <c r="Q75" s="5">
        <v>0</v>
      </c>
      <c r="R75" s="5">
        <v>0</v>
      </c>
    </row>
    <row r="76" spans="1:18" ht="11.25">
      <c r="A76" s="4" t="s">
        <v>94</v>
      </c>
      <c r="B76" s="5" t="s">
        <v>79</v>
      </c>
      <c r="C76" s="5">
        <v>4</v>
      </c>
      <c r="D76" s="5">
        <f t="shared" si="3"/>
        <v>27500</v>
      </c>
      <c r="E76" s="5">
        <f t="shared" si="4"/>
        <v>11250</v>
      </c>
      <c r="F76" s="5">
        <f t="shared" si="5"/>
        <v>1375</v>
      </c>
      <c r="G76" s="5">
        <f t="shared" si="6"/>
        <v>5</v>
      </c>
      <c r="H76" s="5">
        <f t="shared" si="9"/>
        <v>16250</v>
      </c>
      <c r="I76" s="5">
        <f t="shared" si="7"/>
        <v>11250</v>
      </c>
      <c r="J76" s="5">
        <f t="shared" si="8"/>
        <v>813</v>
      </c>
      <c r="K76" s="5">
        <f t="shared" si="10"/>
        <v>6</v>
      </c>
      <c r="L76" s="5">
        <f aca="true" t="shared" si="13" ref="L76:L89">IF(K76&gt;($A$74-1),$A$77,ROUND($E$33-(($E$33-$A$77)/$A$74*K76),0))</f>
        <v>5000</v>
      </c>
      <c r="M76" s="5">
        <f t="shared" si="11"/>
        <v>11250</v>
      </c>
      <c r="N76" s="5">
        <f t="shared" si="12"/>
        <v>250</v>
      </c>
      <c r="O76" s="5">
        <v>0</v>
      </c>
      <c r="P76" s="5">
        <v>0</v>
      </c>
      <c r="Q76" s="5">
        <v>0</v>
      </c>
      <c r="R76" s="5">
        <v>0</v>
      </c>
    </row>
    <row r="77" spans="1:18" ht="11.25">
      <c r="A77" s="12">
        <v>5000</v>
      </c>
      <c r="B77" s="5" t="s">
        <v>80</v>
      </c>
      <c r="C77" s="5">
        <v>4</v>
      </c>
      <c r="D77" s="5">
        <f t="shared" si="3"/>
        <v>27500</v>
      </c>
      <c r="E77" s="5">
        <f t="shared" si="4"/>
        <v>11250</v>
      </c>
      <c r="F77" s="5">
        <f t="shared" si="5"/>
        <v>1375</v>
      </c>
      <c r="G77" s="5">
        <f t="shared" si="6"/>
        <v>5</v>
      </c>
      <c r="H77" s="5">
        <f t="shared" si="9"/>
        <v>16250</v>
      </c>
      <c r="I77" s="5">
        <f t="shared" si="7"/>
        <v>11250</v>
      </c>
      <c r="J77" s="5">
        <f t="shared" si="8"/>
        <v>813</v>
      </c>
      <c r="K77" s="5">
        <f t="shared" si="10"/>
        <v>6</v>
      </c>
      <c r="L77" s="5">
        <f t="shared" si="13"/>
        <v>5000</v>
      </c>
      <c r="M77" s="5">
        <f t="shared" si="11"/>
        <v>11250</v>
      </c>
      <c r="N77" s="5">
        <f t="shared" si="12"/>
        <v>250</v>
      </c>
      <c r="O77" s="5">
        <f aca="true" t="shared" si="14" ref="O77:O91">K77+1</f>
        <v>7</v>
      </c>
      <c r="P77" s="5">
        <f>IF(O77&gt;($A$74-1),$A$77,ROUND($F$33-(($F$33-$A$77)/$A$74*O77),0))</f>
        <v>5000</v>
      </c>
      <c r="Q77" s="5">
        <f aca="true" t="shared" si="15" ref="Q77:Q91">IF(O77&gt;($A$74),0,ROUND((F$33-$A$77)/$A$74,0))</f>
        <v>0</v>
      </c>
      <c r="R77" s="5">
        <f aca="true" t="shared" si="16" ref="R77:R91">ROUND(P77*$B$67,0)</f>
        <v>250</v>
      </c>
    </row>
    <row r="78" spans="2:18" ht="11.25">
      <c r="B78" s="5" t="s">
        <v>81</v>
      </c>
      <c r="C78" s="5">
        <v>3</v>
      </c>
      <c r="D78" s="5">
        <f t="shared" si="3"/>
        <v>38750</v>
      </c>
      <c r="E78" s="5">
        <f t="shared" si="4"/>
        <v>11250</v>
      </c>
      <c r="F78" s="5">
        <f t="shared" si="5"/>
        <v>1938</v>
      </c>
      <c r="G78" s="5">
        <f t="shared" si="6"/>
        <v>4</v>
      </c>
      <c r="H78" s="5">
        <f t="shared" si="9"/>
        <v>27500</v>
      </c>
      <c r="I78" s="5">
        <f t="shared" si="7"/>
        <v>11250</v>
      </c>
      <c r="J78" s="5">
        <f t="shared" si="8"/>
        <v>1375</v>
      </c>
      <c r="K78" s="5">
        <f t="shared" si="10"/>
        <v>5</v>
      </c>
      <c r="L78" s="5">
        <f t="shared" si="13"/>
        <v>16250</v>
      </c>
      <c r="M78" s="5">
        <f t="shared" si="11"/>
        <v>11250</v>
      </c>
      <c r="N78" s="5">
        <f t="shared" si="12"/>
        <v>813</v>
      </c>
      <c r="O78" s="5">
        <f t="shared" si="14"/>
        <v>6</v>
      </c>
      <c r="P78" s="5">
        <f aca="true" t="shared" si="17" ref="P78:P91">IF(O78&gt;($A$74-1),$A$77,ROUND($F$33-(($F$33-$A$77)/$A$74*O78),0))</f>
        <v>5000</v>
      </c>
      <c r="Q78" s="5">
        <f t="shared" si="15"/>
        <v>11250</v>
      </c>
      <c r="R78" s="5">
        <f t="shared" si="16"/>
        <v>250</v>
      </c>
    </row>
    <row r="79" spans="2:18" ht="11.25">
      <c r="B79" s="5" t="s">
        <v>82</v>
      </c>
      <c r="C79" s="5">
        <v>3</v>
      </c>
      <c r="D79" s="5">
        <f t="shared" si="3"/>
        <v>38750</v>
      </c>
      <c r="E79" s="5">
        <f t="shared" si="4"/>
        <v>11250</v>
      </c>
      <c r="F79" s="5">
        <f t="shared" si="5"/>
        <v>1938</v>
      </c>
      <c r="G79" s="5">
        <f t="shared" si="6"/>
        <v>4</v>
      </c>
      <c r="H79" s="5">
        <f t="shared" si="9"/>
        <v>27500</v>
      </c>
      <c r="I79" s="5">
        <f t="shared" si="7"/>
        <v>11250</v>
      </c>
      <c r="J79" s="5">
        <f t="shared" si="8"/>
        <v>1375</v>
      </c>
      <c r="K79" s="5">
        <f t="shared" si="10"/>
        <v>5</v>
      </c>
      <c r="L79" s="5">
        <f t="shared" si="13"/>
        <v>16250</v>
      </c>
      <c r="M79" s="5">
        <f t="shared" si="11"/>
        <v>11250</v>
      </c>
      <c r="N79" s="5">
        <f t="shared" si="12"/>
        <v>813</v>
      </c>
      <c r="O79" s="5">
        <f t="shared" si="14"/>
        <v>6</v>
      </c>
      <c r="P79" s="5">
        <f t="shared" si="17"/>
        <v>5000</v>
      </c>
      <c r="Q79" s="5">
        <f t="shared" si="15"/>
        <v>11250</v>
      </c>
      <c r="R79" s="5">
        <f t="shared" si="16"/>
        <v>250</v>
      </c>
    </row>
    <row r="80" spans="2:18" ht="11.25">
      <c r="B80" s="5" t="s">
        <v>83</v>
      </c>
      <c r="C80" s="5">
        <v>3</v>
      </c>
      <c r="D80" s="5">
        <f t="shared" si="3"/>
        <v>38750</v>
      </c>
      <c r="E80" s="5">
        <f t="shared" si="4"/>
        <v>11250</v>
      </c>
      <c r="F80" s="5">
        <f t="shared" si="5"/>
        <v>1938</v>
      </c>
      <c r="G80" s="5">
        <f t="shared" si="6"/>
        <v>4</v>
      </c>
      <c r="H80" s="5">
        <f t="shared" si="9"/>
        <v>27500</v>
      </c>
      <c r="I80" s="5">
        <f t="shared" si="7"/>
        <v>11250</v>
      </c>
      <c r="J80" s="5">
        <f t="shared" si="8"/>
        <v>1375</v>
      </c>
      <c r="K80" s="5">
        <f t="shared" si="10"/>
        <v>5</v>
      </c>
      <c r="L80" s="5">
        <f t="shared" si="13"/>
        <v>16250</v>
      </c>
      <c r="M80" s="5">
        <f t="shared" si="11"/>
        <v>11250</v>
      </c>
      <c r="N80" s="5">
        <f t="shared" si="12"/>
        <v>813</v>
      </c>
      <c r="O80" s="5">
        <f>K80+1</f>
        <v>6</v>
      </c>
      <c r="P80" s="5">
        <f t="shared" si="17"/>
        <v>5000</v>
      </c>
      <c r="Q80" s="5">
        <f t="shared" si="15"/>
        <v>11250</v>
      </c>
      <c r="R80" s="5">
        <f>ROUND(P80*$B$67,0)</f>
        <v>250</v>
      </c>
    </row>
    <row r="81" spans="2:18" ht="11.25">
      <c r="B81" s="5" t="s">
        <v>84</v>
      </c>
      <c r="C81" s="5">
        <v>2</v>
      </c>
      <c r="D81" s="5">
        <f t="shared" si="3"/>
        <v>50000</v>
      </c>
      <c r="E81" s="5">
        <f t="shared" si="4"/>
        <v>11250</v>
      </c>
      <c r="F81" s="5">
        <f t="shared" si="5"/>
        <v>2500</v>
      </c>
      <c r="G81" s="5">
        <f t="shared" si="6"/>
        <v>3</v>
      </c>
      <c r="H81" s="5">
        <f t="shared" si="9"/>
        <v>38750</v>
      </c>
      <c r="I81" s="5">
        <f t="shared" si="7"/>
        <v>11250</v>
      </c>
      <c r="J81" s="5">
        <f t="shared" si="8"/>
        <v>1938</v>
      </c>
      <c r="K81" s="5">
        <f t="shared" si="10"/>
        <v>4</v>
      </c>
      <c r="L81" s="5">
        <f t="shared" si="13"/>
        <v>27500</v>
      </c>
      <c r="M81" s="5">
        <f t="shared" si="11"/>
        <v>11250</v>
      </c>
      <c r="N81" s="5">
        <f t="shared" si="12"/>
        <v>1375</v>
      </c>
      <c r="O81" s="5">
        <f t="shared" si="14"/>
        <v>5</v>
      </c>
      <c r="P81" s="5">
        <f t="shared" si="17"/>
        <v>16250</v>
      </c>
      <c r="Q81" s="5">
        <f t="shared" si="15"/>
        <v>11250</v>
      </c>
      <c r="R81" s="5">
        <f t="shared" si="16"/>
        <v>813</v>
      </c>
    </row>
    <row r="82" spans="2:18" ht="11.25">
      <c r="B82" s="5" t="s">
        <v>85</v>
      </c>
      <c r="C82" s="5">
        <v>2</v>
      </c>
      <c r="D82" s="5">
        <f t="shared" si="3"/>
        <v>50000</v>
      </c>
      <c r="E82" s="5">
        <f t="shared" si="4"/>
        <v>11250</v>
      </c>
      <c r="F82" s="5">
        <f t="shared" si="5"/>
        <v>2500</v>
      </c>
      <c r="G82" s="5">
        <f t="shared" si="6"/>
        <v>3</v>
      </c>
      <c r="H82" s="5">
        <f t="shared" si="9"/>
        <v>38750</v>
      </c>
      <c r="I82" s="5">
        <f t="shared" si="7"/>
        <v>11250</v>
      </c>
      <c r="J82" s="5">
        <f t="shared" si="8"/>
        <v>1938</v>
      </c>
      <c r="K82" s="5">
        <f t="shared" si="10"/>
        <v>4</v>
      </c>
      <c r="L82" s="5">
        <f t="shared" si="13"/>
        <v>27500</v>
      </c>
      <c r="M82" s="5">
        <f t="shared" si="11"/>
        <v>11250</v>
      </c>
      <c r="N82" s="5">
        <f t="shared" si="12"/>
        <v>1375</v>
      </c>
      <c r="O82" s="5">
        <f t="shared" si="14"/>
        <v>5</v>
      </c>
      <c r="P82" s="5">
        <f t="shared" si="17"/>
        <v>16250</v>
      </c>
      <c r="Q82" s="5">
        <f t="shared" si="15"/>
        <v>11250</v>
      </c>
      <c r="R82" s="5">
        <f t="shared" si="16"/>
        <v>813</v>
      </c>
    </row>
    <row r="83" spans="2:18" ht="11.25">
      <c r="B83" s="5" t="s">
        <v>86</v>
      </c>
      <c r="C83" s="5">
        <v>1</v>
      </c>
      <c r="D83" s="5">
        <f t="shared" si="3"/>
        <v>61250</v>
      </c>
      <c r="E83" s="5">
        <f t="shared" si="4"/>
        <v>11250</v>
      </c>
      <c r="F83" s="5">
        <f t="shared" si="5"/>
        <v>3063</v>
      </c>
      <c r="G83" s="5">
        <f t="shared" si="6"/>
        <v>2</v>
      </c>
      <c r="H83" s="5">
        <f t="shared" si="9"/>
        <v>50000</v>
      </c>
      <c r="I83" s="5">
        <f t="shared" si="7"/>
        <v>11250</v>
      </c>
      <c r="J83" s="5">
        <f t="shared" si="8"/>
        <v>2500</v>
      </c>
      <c r="K83" s="5">
        <f t="shared" si="10"/>
        <v>3</v>
      </c>
      <c r="L83" s="5">
        <f t="shared" si="13"/>
        <v>38750</v>
      </c>
      <c r="M83" s="5">
        <f t="shared" si="11"/>
        <v>11250</v>
      </c>
      <c r="N83" s="5">
        <f t="shared" si="12"/>
        <v>1938</v>
      </c>
      <c r="O83" s="5">
        <f t="shared" si="14"/>
        <v>4</v>
      </c>
      <c r="P83" s="5">
        <f t="shared" si="17"/>
        <v>27500</v>
      </c>
      <c r="Q83" s="5">
        <f t="shared" si="15"/>
        <v>11250</v>
      </c>
      <c r="R83" s="5">
        <f t="shared" si="16"/>
        <v>1375</v>
      </c>
    </row>
    <row r="84" spans="2:18" ht="11.25">
      <c r="B84" s="5" t="s">
        <v>87</v>
      </c>
      <c r="C84" s="5">
        <v>1</v>
      </c>
      <c r="D84" s="5">
        <f t="shared" si="3"/>
        <v>61250</v>
      </c>
      <c r="E84" s="5">
        <f t="shared" si="4"/>
        <v>11250</v>
      </c>
      <c r="F84" s="5">
        <f t="shared" si="5"/>
        <v>3063</v>
      </c>
      <c r="G84" s="5">
        <f t="shared" si="6"/>
        <v>2</v>
      </c>
      <c r="H84" s="5">
        <f t="shared" si="9"/>
        <v>50000</v>
      </c>
      <c r="I84" s="5">
        <f t="shared" si="7"/>
        <v>11250</v>
      </c>
      <c r="J84" s="5">
        <f t="shared" si="8"/>
        <v>2500</v>
      </c>
      <c r="K84" s="5">
        <f t="shared" si="10"/>
        <v>3</v>
      </c>
      <c r="L84" s="5">
        <f t="shared" si="13"/>
        <v>38750</v>
      </c>
      <c r="M84" s="5">
        <f t="shared" si="11"/>
        <v>11250</v>
      </c>
      <c r="N84" s="5">
        <f t="shared" si="12"/>
        <v>1938</v>
      </c>
      <c r="O84" s="5">
        <f t="shared" si="14"/>
        <v>4</v>
      </c>
      <c r="P84" s="5">
        <f t="shared" si="17"/>
        <v>27500</v>
      </c>
      <c r="Q84" s="5">
        <f t="shared" si="15"/>
        <v>11250</v>
      </c>
      <c r="R84" s="5">
        <f t="shared" si="16"/>
        <v>1375</v>
      </c>
    </row>
    <row r="85" spans="2:18" ht="11.25">
      <c r="B85" s="5" t="s">
        <v>88</v>
      </c>
      <c r="C85" s="5">
        <v>1</v>
      </c>
      <c r="D85" s="5">
        <f t="shared" si="3"/>
        <v>61250</v>
      </c>
      <c r="E85" s="5">
        <f t="shared" si="4"/>
        <v>11250</v>
      </c>
      <c r="F85" s="5">
        <f t="shared" si="5"/>
        <v>3063</v>
      </c>
      <c r="G85" s="5">
        <f t="shared" si="6"/>
        <v>2</v>
      </c>
      <c r="H85" s="5">
        <f t="shared" si="9"/>
        <v>50000</v>
      </c>
      <c r="I85" s="5">
        <f t="shared" si="7"/>
        <v>11250</v>
      </c>
      <c r="J85" s="5">
        <f t="shared" si="8"/>
        <v>2500</v>
      </c>
      <c r="K85" s="5">
        <f t="shared" si="10"/>
        <v>3</v>
      </c>
      <c r="L85" s="5">
        <f t="shared" si="13"/>
        <v>38750</v>
      </c>
      <c r="M85" s="5">
        <f t="shared" si="11"/>
        <v>11250</v>
      </c>
      <c r="N85" s="5">
        <f t="shared" si="12"/>
        <v>1938</v>
      </c>
      <c r="O85" s="5">
        <f t="shared" si="14"/>
        <v>4</v>
      </c>
      <c r="P85" s="5">
        <f t="shared" si="17"/>
        <v>27500</v>
      </c>
      <c r="Q85" s="5">
        <f t="shared" si="15"/>
        <v>11250</v>
      </c>
      <c r="R85" s="5">
        <f t="shared" si="16"/>
        <v>1375</v>
      </c>
    </row>
    <row r="86" spans="2:18" ht="11.25">
      <c r="B86" s="5" t="s">
        <v>89</v>
      </c>
      <c r="C86" s="5"/>
      <c r="D86" s="5"/>
      <c r="F86" s="5"/>
      <c r="G86" s="5">
        <v>1</v>
      </c>
      <c r="H86" s="5">
        <f t="shared" si="9"/>
        <v>61250</v>
      </c>
      <c r="I86" s="5">
        <f t="shared" si="7"/>
        <v>11250</v>
      </c>
      <c r="J86" s="5">
        <f t="shared" si="8"/>
        <v>3063</v>
      </c>
      <c r="K86" s="5">
        <f t="shared" si="10"/>
        <v>2</v>
      </c>
      <c r="L86" s="5">
        <f t="shared" si="13"/>
        <v>50000</v>
      </c>
      <c r="M86" s="5">
        <f t="shared" si="11"/>
        <v>11250</v>
      </c>
      <c r="N86" s="5">
        <f t="shared" si="12"/>
        <v>2500</v>
      </c>
      <c r="O86" s="5">
        <f t="shared" si="14"/>
        <v>3</v>
      </c>
      <c r="P86" s="5">
        <f t="shared" si="17"/>
        <v>38750</v>
      </c>
      <c r="Q86" s="5">
        <f t="shared" si="15"/>
        <v>11250</v>
      </c>
      <c r="R86" s="5">
        <f t="shared" si="16"/>
        <v>1938</v>
      </c>
    </row>
    <row r="87" spans="2:18" ht="11.25">
      <c r="B87" s="5" t="s">
        <v>90</v>
      </c>
      <c r="C87" s="5"/>
      <c r="D87" s="5"/>
      <c r="F87" s="5"/>
      <c r="G87" s="5">
        <v>1</v>
      </c>
      <c r="H87" s="5">
        <f t="shared" si="9"/>
        <v>61250</v>
      </c>
      <c r="I87" s="5">
        <f t="shared" si="7"/>
        <v>11250</v>
      </c>
      <c r="J87" s="5">
        <f t="shared" si="8"/>
        <v>3063</v>
      </c>
      <c r="K87" s="5">
        <f t="shared" si="10"/>
        <v>2</v>
      </c>
      <c r="L87" s="5">
        <f t="shared" si="13"/>
        <v>50000</v>
      </c>
      <c r="M87" s="5">
        <f t="shared" si="11"/>
        <v>11250</v>
      </c>
      <c r="N87" s="5">
        <f t="shared" si="12"/>
        <v>2500</v>
      </c>
      <c r="O87" s="5">
        <f t="shared" si="14"/>
        <v>3</v>
      </c>
      <c r="P87" s="5">
        <f t="shared" si="17"/>
        <v>38750</v>
      </c>
      <c r="Q87" s="5">
        <f t="shared" si="15"/>
        <v>11250</v>
      </c>
      <c r="R87" s="5">
        <f t="shared" si="16"/>
        <v>1938</v>
      </c>
    </row>
    <row r="88" spans="2:18" ht="11.25">
      <c r="B88" s="5" t="s">
        <v>91</v>
      </c>
      <c r="C88" s="5"/>
      <c r="D88" s="5"/>
      <c r="F88" s="5"/>
      <c r="G88" s="5"/>
      <c r="H88" s="5"/>
      <c r="J88" s="5"/>
      <c r="K88" s="5">
        <v>1</v>
      </c>
      <c r="L88" s="5">
        <f t="shared" si="13"/>
        <v>61250</v>
      </c>
      <c r="M88" s="5">
        <f t="shared" si="11"/>
        <v>11250</v>
      </c>
      <c r="N88" s="5">
        <f t="shared" si="12"/>
        <v>3063</v>
      </c>
      <c r="O88" s="5">
        <f t="shared" si="14"/>
        <v>2</v>
      </c>
      <c r="P88" s="5">
        <f t="shared" si="17"/>
        <v>50000</v>
      </c>
      <c r="Q88" s="5">
        <f t="shared" si="15"/>
        <v>11250</v>
      </c>
      <c r="R88" s="5">
        <f t="shared" si="16"/>
        <v>2500</v>
      </c>
    </row>
    <row r="89" spans="2:18" ht="11.25">
      <c r="B89" s="5" t="s">
        <v>92</v>
      </c>
      <c r="C89" s="5"/>
      <c r="D89" s="5"/>
      <c r="F89" s="5"/>
      <c r="G89" s="5"/>
      <c r="H89" s="5"/>
      <c r="J89" s="5"/>
      <c r="K89" s="5">
        <v>1</v>
      </c>
      <c r="L89" s="5">
        <f t="shared" si="13"/>
        <v>61250</v>
      </c>
      <c r="M89" s="5">
        <f t="shared" si="11"/>
        <v>11250</v>
      </c>
      <c r="N89" s="5">
        <f t="shared" si="12"/>
        <v>3063</v>
      </c>
      <c r="O89" s="5">
        <f t="shared" si="14"/>
        <v>2</v>
      </c>
      <c r="P89" s="5">
        <f t="shared" si="17"/>
        <v>50000</v>
      </c>
      <c r="Q89" s="5">
        <f t="shared" si="15"/>
        <v>11250</v>
      </c>
      <c r="R89" s="5">
        <f t="shared" si="16"/>
        <v>2500</v>
      </c>
    </row>
    <row r="90" spans="2:18" ht="11.25">
      <c r="B90" s="5" t="s">
        <v>93</v>
      </c>
      <c r="C90" s="5"/>
      <c r="D90" s="5"/>
      <c r="F90" s="5"/>
      <c r="G90" s="5"/>
      <c r="H90" s="5"/>
      <c r="J90" s="5"/>
      <c r="K90" s="5"/>
      <c r="L90" s="5"/>
      <c r="N90" s="5"/>
      <c r="O90" s="5">
        <f t="shared" si="14"/>
        <v>1</v>
      </c>
      <c r="P90" s="5">
        <f t="shared" si="17"/>
        <v>61250</v>
      </c>
      <c r="Q90" s="5">
        <f t="shared" si="15"/>
        <v>11250</v>
      </c>
      <c r="R90" s="5">
        <f t="shared" si="16"/>
        <v>3063</v>
      </c>
    </row>
    <row r="91" spans="2:18" ht="11.25">
      <c r="B91" s="5" t="s">
        <v>170</v>
      </c>
      <c r="C91" s="5"/>
      <c r="D91" s="5"/>
      <c r="F91" s="5"/>
      <c r="G91" s="5"/>
      <c r="H91" s="5"/>
      <c r="J91" s="5"/>
      <c r="K91" s="5"/>
      <c r="L91" s="5"/>
      <c r="N91" s="5"/>
      <c r="O91" s="5">
        <f t="shared" si="14"/>
        <v>1</v>
      </c>
      <c r="P91" s="5">
        <f t="shared" si="17"/>
        <v>61250</v>
      </c>
      <c r="Q91" s="5">
        <f t="shared" si="15"/>
        <v>11250</v>
      </c>
      <c r="R91" s="5">
        <f t="shared" si="16"/>
        <v>3063</v>
      </c>
    </row>
    <row r="92" spans="4:18" ht="11.25">
      <c r="D92" s="5">
        <f>SUM(D71:D91)</f>
        <v>491250</v>
      </c>
      <c r="E92" s="5">
        <f>SUM(E71:E91)</f>
        <v>146250</v>
      </c>
      <c r="F92" s="5">
        <f>SUM(F71:F91)</f>
        <v>24566</v>
      </c>
      <c r="H92" s="5">
        <f>SUM(H71:H91)</f>
        <v>480000</v>
      </c>
      <c r="I92" s="5">
        <f>SUM(I71:I91)</f>
        <v>146250</v>
      </c>
      <c r="J92" s="5">
        <f>SUM(J71:J91)</f>
        <v>24003</v>
      </c>
      <c r="L92" s="5">
        <f>SUM(L71:L91)</f>
        <v>457500</v>
      </c>
      <c r="M92" s="5">
        <f>SUM(M71:M91)</f>
        <v>157500</v>
      </c>
      <c r="N92" s="5">
        <f>SUM(N71:N91)</f>
        <v>22879</v>
      </c>
      <c r="P92" s="5">
        <f>SUM(P71:P91)</f>
        <v>435000</v>
      </c>
      <c r="Q92" s="5">
        <f>SUM(Q71:Q91)</f>
        <v>157500</v>
      </c>
      <c r="R92" s="5">
        <f>SUM(R71:R91)</f>
        <v>21753</v>
      </c>
    </row>
    <row r="93" spans="4:18" ht="11.25">
      <c r="D93" s="5"/>
      <c r="E93" s="5"/>
      <c r="F93" s="5"/>
      <c r="H93" s="5"/>
      <c r="I93" s="5"/>
      <c r="J93" s="5"/>
      <c r="L93" s="5"/>
      <c r="M93" s="5"/>
      <c r="N93" s="5"/>
      <c r="P93" s="5"/>
      <c r="Q93" s="5"/>
      <c r="R93" s="5"/>
    </row>
    <row r="94" spans="3:18" ht="11.25">
      <c r="C94" s="116" t="s">
        <v>32</v>
      </c>
      <c r="D94" s="116"/>
      <c r="E94" s="116"/>
      <c r="F94" s="116"/>
      <c r="G94" s="116" t="s">
        <v>8</v>
      </c>
      <c r="H94" s="116"/>
      <c r="I94" s="116"/>
      <c r="J94" s="116"/>
      <c r="K94" s="116" t="s">
        <v>9</v>
      </c>
      <c r="L94" s="116"/>
      <c r="M94" s="116"/>
      <c r="N94" s="116"/>
      <c r="O94" s="116" t="s">
        <v>10</v>
      </c>
      <c r="P94" s="116"/>
      <c r="Q94" s="116"/>
      <c r="R94" s="116"/>
    </row>
    <row r="95" spans="3:18" ht="11.25">
      <c r="C95" s="4" t="s">
        <v>71</v>
      </c>
      <c r="D95" s="4" t="s">
        <v>72</v>
      </c>
      <c r="E95" s="4" t="s">
        <v>110</v>
      </c>
      <c r="F95" s="4" t="s">
        <v>73</v>
      </c>
      <c r="G95" s="4" t="s">
        <v>71</v>
      </c>
      <c r="H95" s="4" t="s">
        <v>72</v>
      </c>
      <c r="I95" s="4" t="s">
        <v>110</v>
      </c>
      <c r="J95" s="4" t="s">
        <v>73</v>
      </c>
      <c r="K95" s="4" t="s">
        <v>71</v>
      </c>
      <c r="L95" s="4" t="s">
        <v>72</v>
      </c>
      <c r="M95" s="4" t="s">
        <v>110</v>
      </c>
      <c r="N95" s="4" t="s">
        <v>73</v>
      </c>
      <c r="O95" s="4" t="s">
        <v>71</v>
      </c>
      <c r="P95" s="4" t="s">
        <v>72</v>
      </c>
      <c r="Q95" s="4" t="s">
        <v>110</v>
      </c>
      <c r="R95" s="4" t="s">
        <v>73</v>
      </c>
    </row>
    <row r="96" spans="1:18" ht="11.25">
      <c r="A96" s="4" t="s">
        <v>95</v>
      </c>
      <c r="B96" s="4" t="s">
        <v>96</v>
      </c>
      <c r="D96" s="5"/>
      <c r="E96" s="5"/>
      <c r="G96" s="5">
        <f aca="true" t="shared" si="18" ref="G96:G103">C96+1</f>
        <v>1</v>
      </c>
      <c r="H96" s="5">
        <f>IF(G96&gt;($A$99-1),$A$102,ROUND($D$34-(($D$34-$A$102)/$A$99*G96),0))</f>
        <v>14555</v>
      </c>
      <c r="I96" s="5">
        <f aca="true" t="shared" si="19" ref="I96:I103">IF(G96&gt;($A$99),0,ROUND((D$34-$A$102)/$A$99,0))</f>
        <v>1395</v>
      </c>
      <c r="J96" s="5">
        <f aca="true" t="shared" si="20" ref="J96:J103">ROUND(H96*$B$67,0)</f>
        <v>728</v>
      </c>
      <c r="K96" s="5">
        <f aca="true" t="shared" si="21" ref="K96:K107">G96+1</f>
        <v>2</v>
      </c>
      <c r="L96" s="5">
        <f>IF(K96&gt;($A$99-1),$A$102,ROUND($E$34-(($E$34-$A$102)/$A$99*K96),0))</f>
        <v>13160</v>
      </c>
      <c r="M96" s="5">
        <f aca="true" t="shared" si="22" ref="M96:M107">IF(K96&gt;($A$99),0,ROUND((E$34-$A$102)/$A$99,0))</f>
        <v>1395</v>
      </c>
      <c r="N96" s="5">
        <f aca="true" t="shared" si="23" ref="N96:N107">ROUND(L96*$B$67,0)</f>
        <v>658</v>
      </c>
      <c r="O96" s="5">
        <f aca="true" t="shared" si="24" ref="O96:O109">K96+1</f>
        <v>3</v>
      </c>
      <c r="P96" s="5">
        <f>IF(O96&gt;($A$99-1),$A$102,ROUND($F$34-(($F$34-$A$102)/$A$99*O96),0))</f>
        <v>11765</v>
      </c>
      <c r="Q96" s="5">
        <f aca="true" t="shared" si="25" ref="Q96:Q109">IF(O96&gt;($A$99),0,ROUND((F$34-$A$102)/$A$99,0))</f>
        <v>1395</v>
      </c>
      <c r="R96" s="5">
        <f aca="true" t="shared" si="26" ref="R96:R109">ROUND(P96*$B$67,0)</f>
        <v>588</v>
      </c>
    </row>
    <row r="97" spans="2:18" ht="11.25">
      <c r="B97" s="4" t="s">
        <v>97</v>
      </c>
      <c r="D97" s="5"/>
      <c r="E97" s="5"/>
      <c r="G97" s="5">
        <f t="shared" si="18"/>
        <v>1</v>
      </c>
      <c r="H97" s="5">
        <f aca="true" t="shared" si="27" ref="H97:H103">IF(G97&gt;($A$99-1),$A$102,ROUND($D$34-(($D$34-$A$102)/$A$99*G97),0))</f>
        <v>14555</v>
      </c>
      <c r="I97" s="5">
        <f t="shared" si="19"/>
        <v>1395</v>
      </c>
      <c r="J97" s="5">
        <f t="shared" si="20"/>
        <v>728</v>
      </c>
      <c r="K97" s="5">
        <f t="shared" si="21"/>
        <v>2</v>
      </c>
      <c r="L97" s="5">
        <f aca="true" t="shared" si="28" ref="L97:L107">IF(K97&gt;($A$99-1),$A$102,ROUND($E$34-(($E$34-$A$102)/$A$99*K97),0))</f>
        <v>13160</v>
      </c>
      <c r="M97" s="5">
        <f t="shared" si="22"/>
        <v>1395</v>
      </c>
      <c r="N97" s="5">
        <f t="shared" si="23"/>
        <v>658</v>
      </c>
      <c r="O97" s="5">
        <f t="shared" si="24"/>
        <v>3</v>
      </c>
      <c r="P97" s="5">
        <f aca="true" t="shared" si="29" ref="P97:P109">IF(O97&gt;($A$99-1),$A$102,ROUND($F$34-(($F$34-$A$102)/$A$99*O97),0))</f>
        <v>11765</v>
      </c>
      <c r="Q97" s="5">
        <f t="shared" si="25"/>
        <v>1395</v>
      </c>
      <c r="R97" s="5">
        <f t="shared" si="26"/>
        <v>588</v>
      </c>
    </row>
    <row r="98" spans="1:18" ht="11.25">
      <c r="A98" s="4" t="s">
        <v>69</v>
      </c>
      <c r="B98" s="4" t="s">
        <v>98</v>
      </c>
      <c r="D98" s="5"/>
      <c r="E98" s="5"/>
      <c r="G98" s="5">
        <f t="shared" si="18"/>
        <v>1</v>
      </c>
      <c r="H98" s="5">
        <f t="shared" si="27"/>
        <v>14555</v>
      </c>
      <c r="I98" s="5">
        <f t="shared" si="19"/>
        <v>1395</v>
      </c>
      <c r="J98" s="5">
        <f t="shared" si="20"/>
        <v>728</v>
      </c>
      <c r="K98" s="5">
        <f t="shared" si="21"/>
        <v>2</v>
      </c>
      <c r="L98" s="5">
        <f t="shared" si="28"/>
        <v>13160</v>
      </c>
      <c r="M98" s="5">
        <f t="shared" si="22"/>
        <v>1395</v>
      </c>
      <c r="N98" s="5">
        <f t="shared" si="23"/>
        <v>658</v>
      </c>
      <c r="O98" s="5">
        <f t="shared" si="24"/>
        <v>3</v>
      </c>
      <c r="P98" s="5">
        <f t="shared" si="29"/>
        <v>11765</v>
      </c>
      <c r="Q98" s="5">
        <f t="shared" si="25"/>
        <v>1395</v>
      </c>
      <c r="R98" s="5">
        <f t="shared" si="26"/>
        <v>588</v>
      </c>
    </row>
    <row r="99" spans="1:18" ht="11.25">
      <c r="A99" s="7">
        <v>10</v>
      </c>
      <c r="B99" s="4" t="s">
        <v>99</v>
      </c>
      <c r="D99" s="5"/>
      <c r="E99" s="5"/>
      <c r="G99" s="5">
        <f t="shared" si="18"/>
        <v>1</v>
      </c>
      <c r="H99" s="5">
        <f t="shared" si="27"/>
        <v>14555</v>
      </c>
      <c r="I99" s="5">
        <f t="shared" si="19"/>
        <v>1395</v>
      </c>
      <c r="J99" s="5">
        <f t="shared" si="20"/>
        <v>728</v>
      </c>
      <c r="K99" s="5">
        <f t="shared" si="21"/>
        <v>2</v>
      </c>
      <c r="L99" s="5">
        <f t="shared" si="28"/>
        <v>13160</v>
      </c>
      <c r="M99" s="5">
        <f t="shared" si="22"/>
        <v>1395</v>
      </c>
      <c r="N99" s="5">
        <f t="shared" si="23"/>
        <v>658</v>
      </c>
      <c r="O99" s="5">
        <f t="shared" si="24"/>
        <v>3</v>
      </c>
      <c r="P99" s="5">
        <f t="shared" si="29"/>
        <v>11765</v>
      </c>
      <c r="Q99" s="5">
        <f t="shared" si="25"/>
        <v>1395</v>
      </c>
      <c r="R99" s="5">
        <f t="shared" si="26"/>
        <v>588</v>
      </c>
    </row>
    <row r="100" spans="2:18" ht="11.25">
      <c r="B100" s="4" t="s">
        <v>100</v>
      </c>
      <c r="D100" s="5"/>
      <c r="E100" s="5"/>
      <c r="G100" s="5">
        <f t="shared" si="18"/>
        <v>1</v>
      </c>
      <c r="H100" s="5">
        <f t="shared" si="27"/>
        <v>14555</v>
      </c>
      <c r="I100" s="5">
        <f t="shared" si="19"/>
        <v>1395</v>
      </c>
      <c r="J100" s="5">
        <f t="shared" si="20"/>
        <v>728</v>
      </c>
      <c r="K100" s="5">
        <f t="shared" si="21"/>
        <v>2</v>
      </c>
      <c r="L100" s="5">
        <f t="shared" si="28"/>
        <v>13160</v>
      </c>
      <c r="M100" s="5">
        <f t="shared" si="22"/>
        <v>1395</v>
      </c>
      <c r="N100" s="5">
        <f t="shared" si="23"/>
        <v>658</v>
      </c>
      <c r="O100" s="5">
        <f t="shared" si="24"/>
        <v>3</v>
      </c>
      <c r="P100" s="5">
        <f t="shared" si="29"/>
        <v>11765</v>
      </c>
      <c r="Q100" s="5">
        <f t="shared" si="25"/>
        <v>1395</v>
      </c>
      <c r="R100" s="5">
        <f t="shared" si="26"/>
        <v>588</v>
      </c>
    </row>
    <row r="101" spans="1:18" ht="11.25">
      <c r="A101" s="4" t="s">
        <v>94</v>
      </c>
      <c r="B101" s="4" t="s">
        <v>101</v>
      </c>
      <c r="D101" s="5"/>
      <c r="E101" s="5"/>
      <c r="G101" s="5">
        <f t="shared" si="18"/>
        <v>1</v>
      </c>
      <c r="H101" s="5">
        <f t="shared" si="27"/>
        <v>14555</v>
      </c>
      <c r="I101" s="5">
        <f t="shared" si="19"/>
        <v>1395</v>
      </c>
      <c r="J101" s="5">
        <f t="shared" si="20"/>
        <v>728</v>
      </c>
      <c r="K101" s="5">
        <f t="shared" si="21"/>
        <v>2</v>
      </c>
      <c r="L101" s="5">
        <f t="shared" si="28"/>
        <v>13160</v>
      </c>
      <c r="M101" s="5">
        <f t="shared" si="22"/>
        <v>1395</v>
      </c>
      <c r="N101" s="5">
        <f t="shared" si="23"/>
        <v>658</v>
      </c>
      <c r="O101" s="5">
        <f t="shared" si="24"/>
        <v>3</v>
      </c>
      <c r="P101" s="5">
        <f t="shared" si="29"/>
        <v>11765</v>
      </c>
      <c r="Q101" s="5">
        <f t="shared" si="25"/>
        <v>1395</v>
      </c>
      <c r="R101" s="5">
        <f t="shared" si="26"/>
        <v>588</v>
      </c>
    </row>
    <row r="102" spans="1:18" ht="11.25">
      <c r="A102" s="12">
        <v>2000</v>
      </c>
      <c r="B102" s="4" t="s">
        <v>102</v>
      </c>
      <c r="D102" s="5"/>
      <c r="E102" s="5"/>
      <c r="G102" s="5">
        <f t="shared" si="18"/>
        <v>1</v>
      </c>
      <c r="H102" s="5">
        <f t="shared" si="27"/>
        <v>14555</v>
      </c>
      <c r="I102" s="5">
        <f t="shared" si="19"/>
        <v>1395</v>
      </c>
      <c r="J102" s="5">
        <f t="shared" si="20"/>
        <v>728</v>
      </c>
      <c r="K102" s="5">
        <f t="shared" si="21"/>
        <v>2</v>
      </c>
      <c r="L102" s="5">
        <f t="shared" si="28"/>
        <v>13160</v>
      </c>
      <c r="M102" s="5">
        <f t="shared" si="22"/>
        <v>1395</v>
      </c>
      <c r="N102" s="5">
        <f t="shared" si="23"/>
        <v>658</v>
      </c>
      <c r="O102" s="5">
        <f t="shared" si="24"/>
        <v>3</v>
      </c>
      <c r="P102" s="5">
        <f t="shared" si="29"/>
        <v>11765</v>
      </c>
      <c r="Q102" s="5">
        <f t="shared" si="25"/>
        <v>1395</v>
      </c>
      <c r="R102" s="5">
        <f t="shared" si="26"/>
        <v>588</v>
      </c>
    </row>
    <row r="103" spans="2:18" ht="11.25">
      <c r="B103" s="4" t="s">
        <v>103</v>
      </c>
      <c r="D103" s="5"/>
      <c r="E103" s="5"/>
      <c r="G103" s="5">
        <f t="shared" si="18"/>
        <v>1</v>
      </c>
      <c r="H103" s="5">
        <f t="shared" si="27"/>
        <v>14555</v>
      </c>
      <c r="I103" s="5">
        <f t="shared" si="19"/>
        <v>1395</v>
      </c>
      <c r="J103" s="5">
        <f t="shared" si="20"/>
        <v>728</v>
      </c>
      <c r="K103" s="5">
        <f t="shared" si="21"/>
        <v>2</v>
      </c>
      <c r="L103" s="5">
        <f t="shared" si="28"/>
        <v>13160</v>
      </c>
      <c r="M103" s="5">
        <f t="shared" si="22"/>
        <v>1395</v>
      </c>
      <c r="N103" s="5">
        <f t="shared" si="23"/>
        <v>658</v>
      </c>
      <c r="O103" s="5">
        <f t="shared" si="24"/>
        <v>3</v>
      </c>
      <c r="P103" s="5">
        <f t="shared" si="29"/>
        <v>11765</v>
      </c>
      <c r="Q103" s="5">
        <f t="shared" si="25"/>
        <v>1395</v>
      </c>
      <c r="R103" s="5">
        <f t="shared" si="26"/>
        <v>588</v>
      </c>
    </row>
    <row r="104" spans="2:18" ht="11.25">
      <c r="B104" s="4" t="s">
        <v>104</v>
      </c>
      <c r="D104" s="5"/>
      <c r="E104" s="5"/>
      <c r="G104" s="5"/>
      <c r="H104" s="5"/>
      <c r="J104" s="5"/>
      <c r="K104" s="5">
        <f t="shared" si="21"/>
        <v>1</v>
      </c>
      <c r="L104" s="5">
        <f t="shared" si="28"/>
        <v>14555</v>
      </c>
      <c r="M104" s="5">
        <f t="shared" si="22"/>
        <v>1395</v>
      </c>
      <c r="N104" s="5">
        <f t="shared" si="23"/>
        <v>728</v>
      </c>
      <c r="O104" s="5">
        <f t="shared" si="24"/>
        <v>2</v>
      </c>
      <c r="P104" s="5">
        <f t="shared" si="29"/>
        <v>13160</v>
      </c>
      <c r="Q104" s="5">
        <f t="shared" si="25"/>
        <v>1395</v>
      </c>
      <c r="R104" s="5">
        <f t="shared" si="26"/>
        <v>658</v>
      </c>
    </row>
    <row r="105" spans="2:18" ht="11.25">
      <c r="B105" s="4" t="s">
        <v>105</v>
      </c>
      <c r="D105" s="5"/>
      <c r="E105" s="5"/>
      <c r="G105" s="5"/>
      <c r="H105" s="5"/>
      <c r="J105" s="5"/>
      <c r="K105" s="5">
        <f t="shared" si="21"/>
        <v>1</v>
      </c>
      <c r="L105" s="5">
        <f t="shared" si="28"/>
        <v>14555</v>
      </c>
      <c r="M105" s="5">
        <f t="shared" si="22"/>
        <v>1395</v>
      </c>
      <c r="N105" s="5">
        <f t="shared" si="23"/>
        <v>728</v>
      </c>
      <c r="O105" s="5">
        <f t="shared" si="24"/>
        <v>2</v>
      </c>
      <c r="P105" s="5">
        <f t="shared" si="29"/>
        <v>13160</v>
      </c>
      <c r="Q105" s="5">
        <f t="shared" si="25"/>
        <v>1395</v>
      </c>
      <c r="R105" s="5">
        <f t="shared" si="26"/>
        <v>658</v>
      </c>
    </row>
    <row r="106" spans="2:18" ht="11.25">
      <c r="B106" s="4" t="s">
        <v>106</v>
      </c>
      <c r="D106" s="5"/>
      <c r="E106" s="5"/>
      <c r="G106" s="5"/>
      <c r="H106" s="5"/>
      <c r="J106" s="5"/>
      <c r="K106" s="5">
        <f t="shared" si="21"/>
        <v>1</v>
      </c>
      <c r="L106" s="5">
        <f t="shared" si="28"/>
        <v>14555</v>
      </c>
      <c r="M106" s="5">
        <f t="shared" si="22"/>
        <v>1395</v>
      </c>
      <c r="N106" s="5">
        <f t="shared" si="23"/>
        <v>728</v>
      </c>
      <c r="O106" s="5">
        <f t="shared" si="24"/>
        <v>2</v>
      </c>
      <c r="P106" s="5">
        <f t="shared" si="29"/>
        <v>13160</v>
      </c>
      <c r="Q106" s="5">
        <f t="shared" si="25"/>
        <v>1395</v>
      </c>
      <c r="R106" s="5">
        <f t="shared" si="26"/>
        <v>658</v>
      </c>
    </row>
    <row r="107" spans="2:18" ht="11.25">
      <c r="B107" s="4" t="s">
        <v>107</v>
      </c>
      <c r="D107" s="5"/>
      <c r="E107" s="5"/>
      <c r="G107" s="5"/>
      <c r="H107" s="5"/>
      <c r="J107" s="5"/>
      <c r="K107" s="5">
        <f t="shared" si="21"/>
        <v>1</v>
      </c>
      <c r="L107" s="5">
        <f t="shared" si="28"/>
        <v>14555</v>
      </c>
      <c r="M107" s="5">
        <f t="shared" si="22"/>
        <v>1395</v>
      </c>
      <c r="N107" s="5">
        <f t="shared" si="23"/>
        <v>728</v>
      </c>
      <c r="O107" s="5">
        <f t="shared" si="24"/>
        <v>2</v>
      </c>
      <c r="P107" s="5">
        <f t="shared" si="29"/>
        <v>13160</v>
      </c>
      <c r="Q107" s="5">
        <f t="shared" si="25"/>
        <v>1395</v>
      </c>
      <c r="R107" s="5">
        <f t="shared" si="26"/>
        <v>658</v>
      </c>
    </row>
    <row r="108" spans="2:18" ht="11.25">
      <c r="B108" s="4" t="s">
        <v>108</v>
      </c>
      <c r="D108" s="5"/>
      <c r="E108" s="5"/>
      <c r="G108" s="5"/>
      <c r="H108" s="5"/>
      <c r="J108" s="5"/>
      <c r="K108" s="5"/>
      <c r="L108" s="5"/>
      <c r="N108" s="5"/>
      <c r="O108" s="5">
        <f t="shared" si="24"/>
        <v>1</v>
      </c>
      <c r="P108" s="5">
        <f t="shared" si="29"/>
        <v>14555</v>
      </c>
      <c r="Q108" s="5">
        <f t="shared" si="25"/>
        <v>1395</v>
      </c>
      <c r="R108" s="5">
        <f t="shared" si="26"/>
        <v>728</v>
      </c>
    </row>
    <row r="109" spans="2:18" ht="11.25">
      <c r="B109" s="4" t="s">
        <v>109</v>
      </c>
      <c r="D109" s="5"/>
      <c r="E109" s="5"/>
      <c r="G109" s="5"/>
      <c r="H109" s="5"/>
      <c r="J109" s="5"/>
      <c r="K109" s="5"/>
      <c r="L109" s="5"/>
      <c r="N109" s="5"/>
      <c r="O109" s="5">
        <f t="shared" si="24"/>
        <v>1</v>
      </c>
      <c r="P109" s="5">
        <f t="shared" si="29"/>
        <v>14555</v>
      </c>
      <c r="Q109" s="5">
        <f t="shared" si="25"/>
        <v>1395</v>
      </c>
      <c r="R109" s="5">
        <f t="shared" si="26"/>
        <v>728</v>
      </c>
    </row>
    <row r="110" spans="4:18" ht="11.25">
      <c r="D110" s="5">
        <f>SUM(D96:D109)</f>
        <v>0</v>
      </c>
      <c r="E110" s="5">
        <f>SUM(E96:E109)</f>
        <v>0</v>
      </c>
      <c r="F110" s="5">
        <f>SUM(E96:E109)</f>
        <v>0</v>
      </c>
      <c r="G110" s="5"/>
      <c r="H110" s="5">
        <f>SUM(H96:H109)</f>
        <v>116440</v>
      </c>
      <c r="I110" s="5">
        <f>SUM(I96:I109)</f>
        <v>11160</v>
      </c>
      <c r="J110" s="5">
        <f>SUM(J96:J109)</f>
        <v>5824</v>
      </c>
      <c r="K110" s="5"/>
      <c r="L110" s="5">
        <f>SUM(L96:L109)</f>
        <v>163500</v>
      </c>
      <c r="M110" s="5">
        <f>SUM(M96:M109)</f>
        <v>16740</v>
      </c>
      <c r="N110" s="5">
        <f>SUM(N96:N109)</f>
        <v>8176</v>
      </c>
      <c r="P110" s="5">
        <f>SUM(P96:P109)</f>
        <v>175870</v>
      </c>
      <c r="Q110" s="5">
        <f>SUM(Q96:Q109)</f>
        <v>19530</v>
      </c>
      <c r="R110" s="5">
        <f>SUM(R96:R109)</f>
        <v>8792</v>
      </c>
    </row>
    <row r="111" spans="9:13" ht="11.25">
      <c r="I111" s="5"/>
      <c r="J111" s="5"/>
      <c r="K111" s="5"/>
      <c r="L111" s="5"/>
      <c r="M111" s="5"/>
    </row>
    <row r="112" spans="4:18" ht="11.25">
      <c r="D112" s="5">
        <f>D92+D110</f>
        <v>491250</v>
      </c>
      <c r="E112" s="5">
        <f>E92+E110</f>
        <v>146250</v>
      </c>
      <c r="F112" s="5">
        <f>F92+F110</f>
        <v>24566</v>
      </c>
      <c r="H112" s="5">
        <f>H92+H110</f>
        <v>596440</v>
      </c>
      <c r="I112" s="5">
        <f>I92+I110</f>
        <v>157410</v>
      </c>
      <c r="J112" s="5">
        <f>J92+J110</f>
        <v>29827</v>
      </c>
      <c r="L112" s="5">
        <f>L92+L110</f>
        <v>621000</v>
      </c>
      <c r="M112" s="5">
        <f>M92+M110</f>
        <v>174240</v>
      </c>
      <c r="N112" s="5">
        <f>N92+N110</f>
        <v>31055</v>
      </c>
      <c r="P112" s="5">
        <f>P92+P110</f>
        <v>610870</v>
      </c>
      <c r="Q112" s="5">
        <f>Q92+Q110</f>
        <v>177030</v>
      </c>
      <c r="R112" s="5">
        <f>R92+R110</f>
        <v>30545</v>
      </c>
    </row>
    <row r="113" spans="12:13" ht="11.25">
      <c r="L113" s="5"/>
      <c r="M113" s="5"/>
    </row>
  </sheetData>
  <mergeCells count="8">
    <mergeCell ref="O94:R94"/>
    <mergeCell ref="C94:F94"/>
    <mergeCell ref="G94:J94"/>
    <mergeCell ref="K94:N94"/>
    <mergeCell ref="O69:R69"/>
    <mergeCell ref="C69:F69"/>
    <mergeCell ref="G69:J69"/>
    <mergeCell ref="K69:N69"/>
  </mergeCells>
  <printOptions horizontalCentered="1"/>
  <pageMargins left="0.42" right="0.43" top="0.59" bottom="0.984251968503937" header="0.23" footer="0.5118110236220472"/>
  <pageSetup horizontalDpi="200" verticalDpi="200" orientation="landscape" paperSize="9" scale="70" r:id="rId1"/>
  <headerFooter alignWithMargins="0">
    <oddFooter>&amp;L&amp;F   &amp;A  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workbookViewId="0" topLeftCell="A1">
      <selection activeCell="D53" sqref="D53"/>
    </sheetView>
  </sheetViews>
  <sheetFormatPr defaultColWidth="9.140625" defaultRowHeight="12.75"/>
  <cols>
    <col min="1" max="1" width="25.140625" style="4" bestFit="1" customWidth="1"/>
    <col min="2" max="2" width="12.421875" style="4" bestFit="1" customWidth="1"/>
    <col min="3" max="3" width="10.140625" style="4" bestFit="1" customWidth="1"/>
    <col min="4" max="4" width="14.140625" style="4" bestFit="1" customWidth="1"/>
    <col min="5" max="5" width="8.7109375" style="4" bestFit="1" customWidth="1"/>
    <col min="6" max="16384" width="9.140625" style="4" customWidth="1"/>
  </cols>
  <sheetData>
    <row r="1" ht="11.25">
      <c r="A1" s="4" t="s">
        <v>126</v>
      </c>
    </row>
    <row r="3" spans="1:6" ht="11.25">
      <c r="A3" s="8"/>
      <c r="C3" s="6" t="s">
        <v>32</v>
      </c>
      <c r="D3" s="6" t="s">
        <v>8</v>
      </c>
      <c r="E3" s="6" t="s">
        <v>9</v>
      </c>
      <c r="F3" s="6" t="s">
        <v>10</v>
      </c>
    </row>
    <row r="4" spans="1:6" ht="11.25">
      <c r="A4" s="4" t="s">
        <v>128</v>
      </c>
      <c r="C4" s="116" t="s">
        <v>176</v>
      </c>
      <c r="D4" s="116"/>
      <c r="E4" s="116"/>
      <c r="F4" s="116"/>
    </row>
    <row r="5" spans="1:6" ht="11.25">
      <c r="A5" s="4" t="s">
        <v>129</v>
      </c>
      <c r="B5" s="5">
        <v>1000000</v>
      </c>
      <c r="C5" s="4">
        <v>5</v>
      </c>
      <c r="D5" s="4">
        <v>5.25</v>
      </c>
      <c r="E5" s="4">
        <v>5.5</v>
      </c>
      <c r="F5" s="4">
        <v>5.75</v>
      </c>
    </row>
    <row r="6" spans="1:6" ht="11.25">
      <c r="A6" s="4" t="s">
        <v>130</v>
      </c>
      <c r="B6" s="5">
        <v>999999</v>
      </c>
      <c r="C6" s="4">
        <v>6</v>
      </c>
      <c r="D6" s="4">
        <v>6.25</v>
      </c>
      <c r="E6" s="4">
        <v>6.5</v>
      </c>
      <c r="F6" s="4">
        <v>6.75</v>
      </c>
    </row>
    <row r="10" spans="1:2" ht="11.25">
      <c r="A10" s="4" t="s">
        <v>131</v>
      </c>
      <c r="B10" s="4">
        <v>52</v>
      </c>
    </row>
    <row r="11" spans="1:2" ht="11.25">
      <c r="A11" s="4" t="s">
        <v>132</v>
      </c>
      <c r="B11" s="4">
        <v>1.5</v>
      </c>
    </row>
    <row r="14" spans="1:6" ht="11.25">
      <c r="A14" s="4" t="s">
        <v>134</v>
      </c>
      <c r="C14" s="5">
        <f>'Refuse Teams'!D8</f>
        <v>27000</v>
      </c>
      <c r="D14" s="5">
        <f>'Refuse Teams'!E8</f>
        <v>13499.5</v>
      </c>
      <c r="E14" s="5">
        <f>'Refuse Teams'!G8</f>
        <v>5400</v>
      </c>
      <c r="F14" s="5">
        <f>'Refuse Teams'!I8</f>
        <v>0</v>
      </c>
    </row>
    <row r="15" spans="1:6" ht="11.25">
      <c r="A15" s="4" t="s">
        <v>135</v>
      </c>
      <c r="C15" s="5">
        <f>ROUND(C14*$B10*$B11,0)</f>
        <v>2106000</v>
      </c>
      <c r="D15" s="5">
        <f>ROUND(D14*$B10*$B11,0)</f>
        <v>1052961</v>
      </c>
      <c r="E15" s="5">
        <f>ROUND(E14*$B10*$B11,0)</f>
        <v>421200</v>
      </c>
      <c r="F15" s="5">
        <f>ROUND(F14*$B10*$B11,0)</f>
        <v>0</v>
      </c>
    </row>
    <row r="16" spans="1:6" ht="11.25">
      <c r="A16" s="4" t="s">
        <v>136</v>
      </c>
      <c r="C16" s="5">
        <f>IF(C15&gt;($B6-1),ROUND(C15*(C5/100),0),ROUND(C15*(C6/100),0))</f>
        <v>105300</v>
      </c>
      <c r="D16" s="5">
        <f>IF(D15&gt;($B6-1),ROUND(D15*(D5/100),0),ROUND(D15*(D6/100),0))</f>
        <v>55280</v>
      </c>
      <c r="E16" s="5">
        <f>IF(E15&gt;($B6-1),ROUND(E15*(E5/100),0),ROUND(E15*(E6/100),0))</f>
        <v>27378</v>
      </c>
      <c r="F16" s="5">
        <f>IF(F15&gt;($B5-1),ROUND(F15*(F5/100),0),ROUND(F15*(F6/100),0))</f>
        <v>0</v>
      </c>
    </row>
    <row r="17" spans="2:5" ht="11.25">
      <c r="B17" s="5"/>
      <c r="C17" s="5"/>
      <c r="D17" s="5"/>
      <c r="E17" s="5"/>
    </row>
    <row r="18" spans="2:5" ht="11.25">
      <c r="B18" s="5"/>
      <c r="C18" s="5"/>
      <c r="D18" s="5"/>
      <c r="E18" s="5"/>
    </row>
    <row r="19" spans="2:5" ht="11.25">
      <c r="B19" s="5"/>
      <c r="C19" s="5"/>
      <c r="D19" s="5"/>
      <c r="E19" s="5"/>
    </row>
    <row r="23" ht="11.25">
      <c r="A23" s="15"/>
    </row>
  </sheetData>
  <mergeCells count="1">
    <mergeCell ref="C4:F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workbookViewId="0" topLeftCell="A1">
      <selection activeCell="D53" sqref="D53"/>
    </sheetView>
  </sheetViews>
  <sheetFormatPr defaultColWidth="9.140625" defaultRowHeight="12.75"/>
  <cols>
    <col min="1" max="5" width="9.140625" style="4" customWidth="1"/>
    <col min="6" max="7" width="10.140625" style="4" bestFit="1" customWidth="1"/>
    <col min="8" max="8" width="9.140625" style="4" customWidth="1"/>
    <col min="9" max="9" width="9.28125" style="4" bestFit="1" customWidth="1"/>
    <col min="10" max="10" width="11.7109375" style="4" bestFit="1" customWidth="1"/>
    <col min="11" max="12" width="12.8515625" style="4" bestFit="1" customWidth="1"/>
    <col min="13" max="13" width="11.140625" style="4" bestFit="1" customWidth="1"/>
    <col min="14" max="14" width="11.140625" style="4" customWidth="1"/>
    <col min="15" max="15" width="12.8515625" style="4" bestFit="1" customWidth="1"/>
    <col min="16" max="17" width="10.140625" style="4" bestFit="1" customWidth="1"/>
    <col min="18" max="18" width="9.140625" style="4" customWidth="1"/>
    <col min="19" max="19" width="9.28125" style="4" bestFit="1" customWidth="1"/>
    <col min="20" max="20" width="11.28125" style="4" customWidth="1"/>
    <col min="21" max="22" width="10.140625" style="4" bestFit="1" customWidth="1"/>
    <col min="23" max="16384" width="9.140625" style="4" customWidth="1"/>
  </cols>
  <sheetData>
    <row r="1" spans="1:4" ht="11.25">
      <c r="A1" s="4" t="s">
        <v>58</v>
      </c>
      <c r="C1" s="10">
        <v>0.45</v>
      </c>
      <c r="D1" s="10"/>
    </row>
    <row r="2" spans="3:4" ht="11.25">
      <c r="C2" s="10"/>
      <c r="D2" s="10"/>
    </row>
    <row r="3" spans="1:4" ht="11.25">
      <c r="A3" s="4" t="s">
        <v>120</v>
      </c>
      <c r="C3" s="10" t="s">
        <v>59</v>
      </c>
      <c r="D3" s="10" t="s">
        <v>60</v>
      </c>
    </row>
    <row r="4" spans="1:4" ht="11.25">
      <c r="A4" s="4" t="s">
        <v>121</v>
      </c>
      <c r="C4" s="5">
        <v>27</v>
      </c>
      <c r="D4" s="5">
        <f>ROUND(C4*(1+C$1),0)</f>
        <v>39</v>
      </c>
    </row>
    <row r="5" spans="3:4" ht="11.25">
      <c r="C5" s="5"/>
      <c r="D5" s="5"/>
    </row>
    <row r="6" spans="3:4" ht="11.25">
      <c r="C6" s="5"/>
      <c r="D6" s="5"/>
    </row>
    <row r="7" spans="1:6" ht="11.25">
      <c r="A7" s="4" t="s">
        <v>123</v>
      </c>
      <c r="C7" s="6" t="s">
        <v>32</v>
      </c>
      <c r="D7" s="15" t="s">
        <v>8</v>
      </c>
      <c r="E7" s="15" t="s">
        <v>9</v>
      </c>
      <c r="F7" s="15" t="s">
        <v>10</v>
      </c>
    </row>
    <row r="8" spans="3:6" ht="11.25">
      <c r="C8" s="5">
        <v>0</v>
      </c>
      <c r="D8" s="5">
        <f>'Refuse Teams'!F8</f>
        <v>13500</v>
      </c>
      <c r="E8" s="5">
        <f>'Refuse Teams'!H8</f>
        <v>21600</v>
      </c>
      <c r="F8" s="5">
        <f>'Refuse Teams'!J8</f>
        <v>27000</v>
      </c>
    </row>
    <row r="9" spans="3:5" ht="11.25">
      <c r="C9" s="5"/>
      <c r="D9" s="5"/>
      <c r="E9" s="5"/>
    </row>
    <row r="10" spans="3:5" ht="11.25">
      <c r="C10" s="5"/>
      <c r="D10" s="5"/>
      <c r="E10" s="5"/>
    </row>
    <row r="11" spans="1:5" ht="11.25">
      <c r="A11" s="4" t="s">
        <v>73</v>
      </c>
      <c r="B11" s="10">
        <v>0.05</v>
      </c>
      <c r="C11" s="5"/>
      <c r="D11" s="5"/>
      <c r="E11" s="5"/>
    </row>
    <row r="13" spans="3:22" ht="11.25">
      <c r="C13" s="114" t="s">
        <v>32</v>
      </c>
      <c r="D13" s="114"/>
      <c r="E13" s="116"/>
      <c r="F13" s="116"/>
      <c r="G13" s="116"/>
      <c r="H13" s="116" t="s">
        <v>8</v>
      </c>
      <c r="I13" s="116"/>
      <c r="J13" s="116"/>
      <c r="K13" s="116"/>
      <c r="L13" s="116"/>
      <c r="M13" s="116" t="s">
        <v>9</v>
      </c>
      <c r="N13" s="116"/>
      <c r="O13" s="116"/>
      <c r="P13" s="116"/>
      <c r="Q13" s="116"/>
      <c r="R13" s="116" t="s">
        <v>10</v>
      </c>
      <c r="S13" s="116"/>
      <c r="T13" s="116"/>
      <c r="U13" s="116"/>
      <c r="V13" s="116"/>
    </row>
    <row r="14" spans="3:22" ht="11.25">
      <c r="C14" s="4" t="s">
        <v>71</v>
      </c>
      <c r="D14" s="4" t="s">
        <v>124</v>
      </c>
      <c r="E14" s="4" t="s">
        <v>72</v>
      </c>
      <c r="F14" s="4" t="s">
        <v>110</v>
      </c>
      <c r="G14" s="4" t="s">
        <v>73</v>
      </c>
      <c r="H14" s="4" t="s">
        <v>71</v>
      </c>
      <c r="I14" s="4" t="s">
        <v>124</v>
      </c>
      <c r="J14" s="4" t="s">
        <v>72</v>
      </c>
      <c r="K14" s="4" t="s">
        <v>110</v>
      </c>
      <c r="L14" s="4" t="s">
        <v>73</v>
      </c>
      <c r="M14" s="4" t="s">
        <v>71</v>
      </c>
      <c r="N14" s="4" t="s">
        <v>124</v>
      </c>
      <c r="O14" s="4" t="s">
        <v>72</v>
      </c>
      <c r="P14" s="4" t="s">
        <v>110</v>
      </c>
      <c r="Q14" s="4" t="s">
        <v>73</v>
      </c>
      <c r="R14" s="4" t="s">
        <v>71</v>
      </c>
      <c r="S14" s="4" t="s">
        <v>124</v>
      </c>
      <c r="T14" s="4" t="s">
        <v>72</v>
      </c>
      <c r="U14" s="4" t="s">
        <v>110</v>
      </c>
      <c r="V14" s="4" t="s">
        <v>73</v>
      </c>
    </row>
    <row r="15" spans="1:22" ht="11.25">
      <c r="A15" s="4" t="s">
        <v>122</v>
      </c>
      <c r="C15" s="4">
        <v>0</v>
      </c>
      <c r="D15" s="4">
        <f>C8</f>
        <v>0</v>
      </c>
      <c r="E15" s="5">
        <v>0</v>
      </c>
      <c r="F15" s="5">
        <v>0</v>
      </c>
      <c r="G15" s="5">
        <v>0</v>
      </c>
      <c r="H15" s="5">
        <f>C15+1</f>
        <v>1</v>
      </c>
      <c r="I15" s="5">
        <f>$D$8-$C$8</f>
        <v>13500</v>
      </c>
      <c r="J15" s="5">
        <f>IF(H15&gt;($A$18-1),(I15*$A$21),ROUND(($D$4*I15)-((($D$4*I15)/$A$18)*H15),0))</f>
        <v>491400</v>
      </c>
      <c r="K15" s="5">
        <f>IF(H15&gt;($A$18),0,ROUND((($D$4*I15)-($A$21*I15))/$A$18,0))</f>
        <v>35100</v>
      </c>
      <c r="L15" s="5">
        <f>ROUND(J15*$B$11,0)</f>
        <v>24570</v>
      </c>
      <c r="M15" s="5">
        <f>H15+1</f>
        <v>2</v>
      </c>
      <c r="N15" s="5">
        <f>$D$8-$C$8</f>
        <v>13500</v>
      </c>
      <c r="O15" s="5">
        <f>IF(M15&gt;($A$18-1),(N15*$A$21),ROUND(($D$4*N15)-((($D$4*N15)/$A$18)*M15),0))</f>
        <v>456300</v>
      </c>
      <c r="P15" s="5">
        <f>IF(M15&gt;($A$18),0,ROUND((($D$4*N15)-($A$21*N15))/$A$18,0))</f>
        <v>35100</v>
      </c>
      <c r="Q15" s="5">
        <f>ROUND(O15*$B$11,0)</f>
        <v>22815</v>
      </c>
      <c r="R15" s="5">
        <f>M15+1</f>
        <v>3</v>
      </c>
      <c r="S15" s="5">
        <f>$D$8-$C$8</f>
        <v>13500</v>
      </c>
      <c r="T15" s="5">
        <f>IF(R15&gt;($A$18-1),(S15*$A$21),ROUND(($D$4*S15)-((($D$4*S15)/$A$18)*R15),0))</f>
        <v>421200</v>
      </c>
      <c r="U15" s="5">
        <f>IF(R15&gt;($A$18),0,ROUND((($D$4*S15)-($A$21*S15))/$A$18,0))</f>
        <v>35100</v>
      </c>
      <c r="V15" s="5">
        <f>ROUND(T15*$B$11,0)</f>
        <v>21060</v>
      </c>
    </row>
    <row r="16" spans="5:22" ht="11.25">
      <c r="E16" s="5"/>
      <c r="F16" s="5"/>
      <c r="G16" s="5"/>
      <c r="H16" s="5"/>
      <c r="I16" s="5"/>
      <c r="J16" s="5"/>
      <c r="K16" s="5"/>
      <c r="L16" s="5"/>
      <c r="M16" s="5">
        <f>H16+1</f>
        <v>1</v>
      </c>
      <c r="N16" s="5">
        <f>$E$8-$D$8</f>
        <v>8100</v>
      </c>
      <c r="O16" s="5">
        <f>IF(M16&gt;($A$18-1),(N16*$A$21),ROUND(($D$4*N16)-((($D$4*N16)/$A$18)*M16),0))</f>
        <v>294840</v>
      </c>
      <c r="P16" s="5">
        <f>IF(M16&gt;($A$18),0,ROUND((($D$4*N16)-($A$21*N16))/$A$18,0))</f>
        <v>21060</v>
      </c>
      <c r="Q16" s="5">
        <f>ROUND(O16*$B$11,0)</f>
        <v>14742</v>
      </c>
      <c r="R16" s="5">
        <f>M16+1</f>
        <v>2</v>
      </c>
      <c r="S16" s="5">
        <f>$E$8-$D$8</f>
        <v>8100</v>
      </c>
      <c r="T16" s="5">
        <f>IF(R16&gt;($A$18-1),(S16*$A$21),ROUND(($D$4*S16)-((($D$4*S16)/$A$18)*R16),0))</f>
        <v>273780</v>
      </c>
      <c r="U16" s="5">
        <f>IF(R16&gt;($A$18),0,ROUND((($D$4*S16)-($A$21*S16))/$A$18,0))</f>
        <v>21060</v>
      </c>
      <c r="V16" s="5">
        <f>ROUND(T16*$B$11,0)</f>
        <v>13689</v>
      </c>
    </row>
    <row r="17" spans="1:22" ht="11.25">
      <c r="A17" s="4" t="s">
        <v>69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>M17+1</f>
        <v>1</v>
      </c>
      <c r="S17" s="5">
        <f>$F$8-$E$8</f>
        <v>5400</v>
      </c>
      <c r="T17" s="5">
        <f>IF(R17&gt;($A$18-1),(S17*$A$21),ROUND(($D$4*S17)-((($D$4*S17)/$A$18)*R17),0))</f>
        <v>196560</v>
      </c>
      <c r="U17" s="5">
        <f>IF(R17&gt;($A$18),0,ROUND((($D$4*S17)-($A$21*S17))/$A$18,0))</f>
        <v>14040</v>
      </c>
      <c r="V17" s="5">
        <f>ROUND(T17*$B$11,0)</f>
        <v>9828</v>
      </c>
    </row>
    <row r="18" spans="1:22" ht="11.25">
      <c r="A18" s="7">
        <v>15</v>
      </c>
      <c r="I18" s="5">
        <f>SUM(I15:I17)</f>
        <v>13500</v>
      </c>
      <c r="J18" s="5">
        <f>SUM(J15:J17)</f>
        <v>491400</v>
      </c>
      <c r="K18" s="5">
        <f>SUM(K15:K17)</f>
        <v>35100</v>
      </c>
      <c r="L18" s="5">
        <f>SUM(L15:L17)</f>
        <v>24570</v>
      </c>
      <c r="M18" s="5"/>
      <c r="N18" s="5">
        <f>SUM(N15:N17)</f>
        <v>21600</v>
      </c>
      <c r="O18" s="5">
        <f>SUM(O15:O17)</f>
        <v>751140</v>
      </c>
      <c r="P18" s="5">
        <f>SUM(P15:P17)</f>
        <v>56160</v>
      </c>
      <c r="Q18" s="5">
        <f>SUM(Q15:Q17)</f>
        <v>37557</v>
      </c>
      <c r="R18" s="5"/>
      <c r="S18" s="5">
        <f>SUM(S15:S17)</f>
        <v>27000</v>
      </c>
      <c r="T18" s="5">
        <f>SUM(T15:T17)</f>
        <v>891540</v>
      </c>
      <c r="U18" s="5">
        <f>SUM(U15:U17)</f>
        <v>70200</v>
      </c>
      <c r="V18" s="5">
        <f>SUM(V15:V17)</f>
        <v>44577</v>
      </c>
    </row>
    <row r="19" spans="18:22" ht="11.25">
      <c r="R19" s="5"/>
      <c r="S19" s="5"/>
      <c r="T19" s="5"/>
      <c r="U19" s="5"/>
      <c r="V19" s="5"/>
    </row>
    <row r="20" spans="1:22" ht="11.25">
      <c r="A20" s="4" t="s">
        <v>94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1.25">
      <c r="A21" s="12">
        <v>0</v>
      </c>
      <c r="R21" s="5"/>
      <c r="S21" s="5"/>
      <c r="T21" s="5"/>
      <c r="U21" s="5"/>
      <c r="V21" s="5"/>
    </row>
    <row r="22" spans="5:22" ht="11.25">
      <c r="E22" s="5"/>
      <c r="F22" s="5"/>
      <c r="G22" s="5"/>
      <c r="J22" s="5"/>
      <c r="K22" s="5"/>
      <c r="L22" s="5"/>
      <c r="O22" s="5"/>
      <c r="P22" s="5"/>
      <c r="Q22" s="5"/>
      <c r="T22" s="5"/>
      <c r="U22" s="5"/>
      <c r="V22" s="5"/>
    </row>
    <row r="23" spans="5:22" ht="11.25">
      <c r="E23" s="5"/>
      <c r="F23" s="5"/>
      <c r="G23" s="5"/>
      <c r="J23" s="5"/>
      <c r="K23" s="5"/>
      <c r="L23" s="5"/>
      <c r="O23" s="5"/>
      <c r="P23" s="5"/>
      <c r="Q23" s="5"/>
      <c r="T23" s="5"/>
      <c r="U23" s="5"/>
      <c r="V23" s="5"/>
    </row>
  </sheetData>
  <mergeCells count="4">
    <mergeCell ref="C13:G13"/>
    <mergeCell ref="H13:L13"/>
    <mergeCell ref="M13:Q13"/>
    <mergeCell ref="R13:V13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&amp;L&amp;F   &amp;A  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E.J. Shirer</dc:creator>
  <cp:keywords/>
  <dc:description/>
  <cp:lastModifiedBy>Bob Young</cp:lastModifiedBy>
  <cp:lastPrinted>2004-06-20T11:20:41Z</cp:lastPrinted>
  <dcterms:created xsi:type="dcterms:W3CDTF">1999-06-30T19:17:30Z</dcterms:created>
  <dcterms:modified xsi:type="dcterms:W3CDTF">2004-06-20T11:21:16Z</dcterms:modified>
  <cp:category/>
  <cp:version/>
  <cp:contentType/>
  <cp:contentStatus/>
</cp:coreProperties>
</file>