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WP" sheetId="1" r:id="rId1"/>
    <sheet name="Appendix A1" sheetId="2" r:id="rId2"/>
    <sheet name="WP (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 Shirer</author>
  </authors>
  <commentList>
    <comment ref="E5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3</t>
        </r>
      </text>
    </comment>
    <comment ref="E10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A</t>
        </r>
      </text>
    </comment>
    <comment ref="C7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B</t>
        </r>
      </text>
    </comment>
    <comment ref="E16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C</t>
        </r>
      </text>
    </comment>
    <comment ref="D26" authorId="0">
      <text>
        <r>
          <rPr>
            <b/>
            <sz val="8"/>
            <rFont val="Tahoma"/>
            <family val="0"/>
          </rPr>
          <t>David Shirer: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<sst xmlns="http://schemas.openxmlformats.org/spreadsheetml/2006/main" count="80" uniqueCount="48">
  <si>
    <t>Council tax</t>
  </si>
  <si>
    <t>No of houses</t>
  </si>
  <si>
    <t>Tonnes</t>
  </si>
  <si>
    <t>Amount of waste recycled by Wheelingham</t>
  </si>
  <si>
    <t>Band</t>
  </si>
  <si>
    <t>Current Charge</t>
  </si>
  <si>
    <t>£</t>
  </si>
  <si>
    <t>Target for recycling =</t>
  </si>
  <si>
    <t>Maximum amount that could be lost</t>
  </si>
  <si>
    <t>Loss of grant for every tonne under target</t>
  </si>
  <si>
    <t>Increase to cover loss of grant</t>
  </si>
  <si>
    <t>Yield</t>
  </si>
  <si>
    <t>Increase per household</t>
  </si>
  <si>
    <t>Revised council tax</t>
  </si>
  <si>
    <t>Appendix A1</t>
  </si>
  <si>
    <t>Previous year</t>
  </si>
  <si>
    <t>County council tax</t>
  </si>
  <si>
    <t>Yield to county</t>
  </si>
  <si>
    <t>Total council tax for both councils</t>
  </si>
  <si>
    <t>Council tax 2004/05</t>
  </si>
  <si>
    <t>Increase from 2003/04</t>
  </si>
  <si>
    <t>NICs</t>
  </si>
  <si>
    <t>Pension contributions</t>
  </si>
  <si>
    <t>2003/04 rate</t>
  </si>
  <si>
    <t>2004/05 rate</t>
  </si>
  <si>
    <t>Increase in percentage points</t>
  </si>
  <si>
    <t>Rate of increase</t>
  </si>
  <si>
    <t>iv</t>
  </si>
  <si>
    <t>Council tax in 2003/04 (2004/05 figure ÷ (Increase + 100))</t>
  </si>
  <si>
    <t>Page</t>
  </si>
  <si>
    <t>Overall increase from 2003/04 to 2004/05 =</t>
  </si>
  <si>
    <t>=</t>
  </si>
  <si>
    <t>Amount of waste collected by Wheelingham</t>
  </si>
  <si>
    <t>APPENDIX 1A</t>
  </si>
  <si>
    <t>QUESTION 1</t>
  </si>
  <si>
    <t>1.  Overall Increase in Council Tax 2003/04 - 2004/05</t>
  </si>
  <si>
    <t>Wheelingham</t>
  </si>
  <si>
    <t>Binbyshire</t>
  </si>
  <si>
    <t>Increase</t>
  </si>
  <si>
    <t>%</t>
  </si>
  <si>
    <t>APPENDIX 1B</t>
  </si>
  <si>
    <t>1.  Potential Central Government Grant Loss at Current Penalty Level</t>
  </si>
  <si>
    <t>2.  Effect of Failing to Meet Recycling Targets on Council Tax Levels</t>
  </si>
  <si>
    <t>2.  Increase in Pay Related Expenses</t>
  </si>
  <si>
    <t>(ii)</t>
  </si>
  <si>
    <t>1 mark</t>
  </si>
  <si>
    <t>½ mark</t>
  </si>
  <si>
    <t>2½ marks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</si>
</sst>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_;\(#,##0.00\)_ ;&quot;-&quot;____;"/>
    <numFmt numFmtId="165" formatCode="#,##0.00__;\(#,##0.00\)_ ;&quot;-&quot;____;_-@_-"/>
    <numFmt numFmtId="166" formatCode="#,##0.000__;\(#,##0.000\)_ ;&quot;-&quot;____;_-@_-"/>
    <numFmt numFmtId="167" formatCode="#,##0.0000__;\(#,##0.0000\)_ ;&quot;-&quot;____;_-@_-"/>
    <numFmt numFmtId="168" formatCode="#,##0.0__;\(#,##0.0\)_ ;&quot;-&quot;____;_-@_-"/>
    <numFmt numFmtId="169" formatCode="#,##0__;\(#,##0\)_ ;&quot;-&quot;____;_-@_-"/>
    <numFmt numFmtId="170" formatCode="0.0%"/>
    <numFmt numFmtId="171" formatCode="##,##0__;\(#,##0\)_ ;&quot;-&quot;____;_-@_-"/>
    <numFmt numFmtId="172" formatCode="[$-809]dd\ mmmm\ yyyy"/>
    <numFmt numFmtId="173" formatCode="&quot;£&quot;#,##0.0;[Red]\-&quot;£&quot;#,##0.0"/>
    <numFmt numFmtId="174" formatCode="0.0%__"/>
    <numFmt numFmtId="175" formatCode="#,##0.0"/>
    <numFmt numFmtId="176" formatCode="#,##0__\ \ ;\(#,##0\)__;&quot;-&quot;_____;"/>
    <numFmt numFmtId="177" formatCode="#,##0_ \ ;\(#,##0\)_;&quot;-&quot;_____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15" applyNumberFormat="1" applyFont="1" applyFill="1" applyAlignment="1" quotePrefix="1">
      <alignment/>
    </xf>
    <xf numFmtId="169" fontId="0" fillId="0" borderId="0" xfId="0" applyNumberFormat="1" applyFill="1" applyAlignment="1">
      <alignment/>
    </xf>
    <xf numFmtId="9" fontId="0" fillId="0" borderId="0" xfId="21" applyFill="1" applyAlignment="1">
      <alignment/>
    </xf>
    <xf numFmtId="165" fontId="0" fillId="0" borderId="0" xfId="0" applyNumberFormat="1" applyFill="1" applyAlignment="1">
      <alignment horizontal="center" vertical="top" wrapText="1"/>
    </xf>
    <xf numFmtId="169" fontId="0" fillId="0" borderId="0" xfId="0" applyNumberFormat="1" applyFill="1" applyAlignment="1">
      <alignment horizontal="center"/>
    </xf>
    <xf numFmtId="9" fontId="0" fillId="0" borderId="0" xfId="21" applyFill="1" applyAlignment="1">
      <alignment/>
    </xf>
    <xf numFmtId="165" fontId="0" fillId="0" borderId="0" xfId="15" applyNumberFormat="1" applyFont="1" applyFill="1" applyAlignment="1">
      <alignment/>
    </xf>
    <xf numFmtId="170" fontId="0" fillId="0" borderId="0" xfId="21" applyNumberFormat="1" applyFill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/>
    </xf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center" vertical="top" wrapText="1"/>
    </xf>
    <xf numFmtId="165" fontId="5" fillId="0" borderId="0" xfId="0" applyNumberFormat="1" applyFont="1" applyFill="1" applyAlignment="1">
      <alignment/>
    </xf>
    <xf numFmtId="170" fontId="5" fillId="0" borderId="0" xfId="21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9" fontId="5" fillId="0" borderId="0" xfId="21" applyFont="1" applyFill="1" applyAlignment="1">
      <alignment/>
    </xf>
    <xf numFmtId="165" fontId="5" fillId="0" borderId="0" xfId="15" applyNumberFormat="1" applyFont="1" applyFill="1" applyAlignment="1">
      <alignment/>
    </xf>
    <xf numFmtId="169" fontId="5" fillId="0" borderId="0" xfId="0" applyNumberFormat="1" applyFont="1" applyFill="1" applyAlignment="1">
      <alignment horizontal="center"/>
    </xf>
    <xf numFmtId="9" fontId="0" fillId="0" borderId="0" xfId="21" applyNumberForma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5" fontId="6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65" fontId="5" fillId="2" borderId="1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/>
    </xf>
    <xf numFmtId="165" fontId="5" fillId="2" borderId="4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9" fontId="5" fillId="0" borderId="6" xfId="0" applyNumberFormat="1" applyFont="1" applyFill="1" applyBorder="1" applyAlignment="1">
      <alignment/>
    </xf>
    <xf numFmtId="16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70" fontId="5" fillId="0" borderId="0" xfId="21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/>
    </xf>
    <xf numFmtId="177" fontId="5" fillId="2" borderId="7" xfId="0" applyNumberFormat="1" applyFont="1" applyFill="1" applyBorder="1" applyAlignment="1">
      <alignment horizontal="right"/>
    </xf>
    <xf numFmtId="177" fontId="5" fillId="2" borderId="8" xfId="0" applyNumberFormat="1" applyFont="1" applyFill="1" applyBorder="1" applyAlignment="1">
      <alignment horizontal="right"/>
    </xf>
    <xf numFmtId="177" fontId="5" fillId="3" borderId="4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/>
    </xf>
    <xf numFmtId="169" fontId="5" fillId="0" borderId="4" xfId="0" applyNumberFormat="1" applyFont="1" applyFill="1" applyBorder="1" applyAlignment="1">
      <alignment/>
    </xf>
    <xf numFmtId="165" fontId="5" fillId="0" borderId="4" xfId="0" applyNumberFormat="1" applyFont="1" applyFill="1" applyBorder="1" applyAlignment="1">
      <alignment horizontal="center"/>
    </xf>
    <xf numFmtId="177" fontId="5" fillId="2" borderId="1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8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5">
      <selection activeCell="M26" sqref="M26"/>
    </sheetView>
  </sheetViews>
  <sheetFormatPr defaultColWidth="9.140625" defaultRowHeight="12.75"/>
  <cols>
    <col min="1" max="1" width="9.140625" style="1" customWidth="1"/>
    <col min="2" max="2" width="14.57421875" style="2" customWidth="1"/>
    <col min="3" max="3" width="13.140625" style="2" bestFit="1" customWidth="1"/>
    <col min="4" max="4" width="13.8515625" style="2" bestFit="1" customWidth="1"/>
    <col min="5" max="5" width="11.140625" style="2" bestFit="1" customWidth="1"/>
    <col min="6" max="6" width="10.421875" style="2" customWidth="1"/>
    <col min="7" max="7" width="9.140625" style="2" bestFit="1" customWidth="1"/>
    <col min="8" max="8" width="10.140625" style="2" bestFit="1" customWidth="1"/>
    <col min="9" max="9" width="13.8515625" style="2" bestFit="1" customWidth="1"/>
    <col min="10" max="11" width="9.140625" style="2" customWidth="1"/>
    <col min="12" max="12" width="12.7109375" style="2" bestFit="1" customWidth="1"/>
    <col min="13" max="13" width="13.8515625" style="2" bestFit="1" customWidth="1"/>
    <col min="14" max="14" width="12.7109375" style="2" bestFit="1" customWidth="1"/>
    <col min="15" max="16384" width="9.140625" style="2" customWidth="1"/>
  </cols>
  <sheetData>
    <row r="1" spans="6:7" ht="12.75">
      <c r="F1" s="69" t="s">
        <v>14</v>
      </c>
      <c r="G1" s="69"/>
    </row>
    <row r="2" ht="12.75"/>
    <row r="3" spans="1:5" ht="12.75">
      <c r="A3" s="3"/>
      <c r="E3" s="1" t="s">
        <v>2</v>
      </c>
    </row>
    <row r="4" ht="12.75">
      <c r="A4" s="2"/>
    </row>
    <row r="5" spans="1:5" ht="12.75">
      <c r="A5" s="2" t="s">
        <v>3</v>
      </c>
      <c r="E5" s="4">
        <v>16600</v>
      </c>
    </row>
    <row r="6" spans="1:5" ht="12.75">
      <c r="A6" s="2"/>
      <c r="E6" s="4"/>
    </row>
    <row r="7" spans="1:5" ht="12.75">
      <c r="A7" s="2" t="s">
        <v>7</v>
      </c>
      <c r="C7" s="8">
        <v>0.1</v>
      </c>
      <c r="E7" s="4">
        <f>ROUND(E5*C7,0)</f>
        <v>1660</v>
      </c>
    </row>
    <row r="8" spans="1:2" ht="12.75">
      <c r="A8" s="2"/>
      <c r="B8" s="8"/>
    </row>
    <row r="9" spans="1:5" ht="12.75">
      <c r="A9" s="2"/>
      <c r="B9" s="8"/>
      <c r="E9" s="1" t="s">
        <v>6</v>
      </c>
    </row>
    <row r="10" spans="1:5" ht="12.75">
      <c r="A10" s="2" t="s">
        <v>9</v>
      </c>
      <c r="B10" s="8"/>
      <c r="E10" s="4">
        <v>150</v>
      </c>
    </row>
    <row r="11" spans="1:5" ht="12.75">
      <c r="A11" s="2"/>
      <c r="B11" s="8"/>
      <c r="E11" s="4"/>
    </row>
    <row r="12" spans="1:5" ht="12.75">
      <c r="A12" s="2" t="s">
        <v>8</v>
      </c>
      <c r="B12" s="8"/>
      <c r="E12" s="4">
        <f>E7*E10</f>
        <v>249000</v>
      </c>
    </row>
    <row r="13" spans="1:2" ht="12.75">
      <c r="A13" s="2"/>
      <c r="B13" s="8"/>
    </row>
    <row r="14" ht="12.75">
      <c r="A14" s="9" t="s">
        <v>0</v>
      </c>
    </row>
    <row r="15" ht="12.75">
      <c r="B15" s="9"/>
    </row>
    <row r="16" spans="1:13" s="6" customFormat="1" ht="63.75">
      <c r="A16" s="6" t="s">
        <v>4</v>
      </c>
      <c r="B16" s="6" t="s">
        <v>5</v>
      </c>
      <c r="C16" s="6" t="s">
        <v>1</v>
      </c>
      <c r="D16" s="6" t="s">
        <v>11</v>
      </c>
      <c r="E16" s="6" t="s">
        <v>10</v>
      </c>
      <c r="F16" s="6" t="s">
        <v>12</v>
      </c>
      <c r="G16" s="6" t="s">
        <v>13</v>
      </c>
      <c r="I16" s="6" t="s">
        <v>17</v>
      </c>
      <c r="K16" s="6" t="s">
        <v>18</v>
      </c>
      <c r="M16" s="6" t="s">
        <v>16</v>
      </c>
    </row>
    <row r="17" spans="2:10" s="1" customFormat="1" ht="12.75">
      <c r="B17" s="1" t="s">
        <v>6</v>
      </c>
      <c r="D17" s="1" t="s">
        <v>6</v>
      </c>
      <c r="E17" s="1" t="s">
        <v>6</v>
      </c>
      <c r="F17" s="1" t="s">
        <v>6</v>
      </c>
      <c r="I17" s="1" t="s">
        <v>6</v>
      </c>
      <c r="J17" s="2"/>
    </row>
    <row r="18" spans="1:14" ht="12.75">
      <c r="A18" s="7">
        <v>1</v>
      </c>
      <c r="B18" s="2">
        <v>111.02</v>
      </c>
      <c r="C18" s="4">
        <v>11500</v>
      </c>
      <c r="D18" s="4">
        <f aca="true" t="shared" si="0" ref="D18:D25">B18*C18</f>
        <v>1276730</v>
      </c>
      <c r="E18" s="4">
        <f aca="true" t="shared" si="1" ref="E18:E25">ROUND((D18/D$26)*E$12,0)</f>
        <v>89529</v>
      </c>
      <c r="F18" s="2">
        <f aca="true" t="shared" si="2" ref="F18:F25">E18/C18</f>
        <v>7.785130434782609</v>
      </c>
      <c r="G18" s="2">
        <f aca="true" t="shared" si="3" ref="G18:G25">B18+F18</f>
        <v>118.8051304347826</v>
      </c>
      <c r="I18" s="4">
        <f>C18*M18</f>
        <v>6757400</v>
      </c>
      <c r="K18" s="2">
        <v>698.62</v>
      </c>
      <c r="L18" s="2">
        <f>ROUND($K18*(L$26/($L$26+$M$26)),2)</f>
        <v>111.02</v>
      </c>
      <c r="M18" s="2">
        <f>ROUND($K18*(M$26/($L$26+$M$26)),2)</f>
        <v>587.6</v>
      </c>
      <c r="N18" s="2">
        <f>SUM(L18:M18)</f>
        <v>698.62</v>
      </c>
    </row>
    <row r="19" spans="1:14" ht="12.75">
      <c r="A19" s="7">
        <v>2</v>
      </c>
      <c r="B19" s="2">
        <v>129.53</v>
      </c>
      <c r="C19" s="4">
        <v>8300</v>
      </c>
      <c r="D19" s="4">
        <f t="shared" si="0"/>
        <v>1075099</v>
      </c>
      <c r="E19" s="4">
        <f t="shared" si="1"/>
        <v>75390</v>
      </c>
      <c r="F19" s="2">
        <f t="shared" si="2"/>
        <v>9.083132530120482</v>
      </c>
      <c r="G19" s="2">
        <f t="shared" si="3"/>
        <v>138.61313253012048</v>
      </c>
      <c r="I19" s="4">
        <f aca="true" t="shared" si="4" ref="I19:I25">C19*M19</f>
        <v>5689816</v>
      </c>
      <c r="K19" s="2">
        <v>815.05</v>
      </c>
      <c r="L19" s="2">
        <f aca="true" t="shared" si="5" ref="L19:M25">ROUND($K19*(L$26/($L$26+$M$26)),2)</f>
        <v>129.53</v>
      </c>
      <c r="M19" s="2">
        <f t="shared" si="5"/>
        <v>685.52</v>
      </c>
      <c r="N19" s="2">
        <f aca="true" t="shared" si="6" ref="N19:N25">SUM(L19:M19)</f>
        <v>815.05</v>
      </c>
    </row>
    <row r="20" spans="1:14" ht="12.75">
      <c r="A20" s="7">
        <v>3</v>
      </c>
      <c r="B20" s="2">
        <v>148.03</v>
      </c>
      <c r="C20" s="4">
        <v>5000</v>
      </c>
      <c r="D20" s="4">
        <f t="shared" si="0"/>
        <v>740150</v>
      </c>
      <c r="E20" s="4">
        <f t="shared" si="1"/>
        <v>51902</v>
      </c>
      <c r="F20" s="2">
        <f t="shared" si="2"/>
        <v>10.3804</v>
      </c>
      <c r="G20" s="2">
        <f t="shared" si="3"/>
        <v>158.4104</v>
      </c>
      <c r="I20" s="4">
        <f t="shared" si="4"/>
        <v>3917300</v>
      </c>
      <c r="K20" s="2">
        <v>931.49</v>
      </c>
      <c r="L20" s="2">
        <f t="shared" si="5"/>
        <v>148.03</v>
      </c>
      <c r="M20" s="2">
        <f t="shared" si="5"/>
        <v>783.46</v>
      </c>
      <c r="N20" s="2">
        <f t="shared" si="6"/>
        <v>931.49</v>
      </c>
    </row>
    <row r="21" spans="1:14" ht="12.75">
      <c r="A21" s="7">
        <v>4</v>
      </c>
      <c r="B21" s="2">
        <v>166.53</v>
      </c>
      <c r="C21" s="4">
        <v>1000</v>
      </c>
      <c r="D21" s="4">
        <f t="shared" si="0"/>
        <v>166530</v>
      </c>
      <c r="E21" s="4">
        <f t="shared" si="1"/>
        <v>11678</v>
      </c>
      <c r="F21" s="2">
        <f t="shared" si="2"/>
        <v>11.678</v>
      </c>
      <c r="G21" s="2">
        <f t="shared" si="3"/>
        <v>178.208</v>
      </c>
      <c r="I21" s="4">
        <f t="shared" si="4"/>
        <v>881400</v>
      </c>
      <c r="K21" s="2">
        <v>1047.93</v>
      </c>
      <c r="L21" s="2">
        <f t="shared" si="5"/>
        <v>166.53</v>
      </c>
      <c r="M21" s="2">
        <f t="shared" si="5"/>
        <v>881.4</v>
      </c>
      <c r="N21" s="2">
        <f t="shared" si="6"/>
        <v>1047.93</v>
      </c>
    </row>
    <row r="22" spans="1:14" ht="12.75">
      <c r="A22" s="7">
        <v>5</v>
      </c>
      <c r="B22" s="2">
        <v>203.54</v>
      </c>
      <c r="C22" s="4">
        <v>600</v>
      </c>
      <c r="D22" s="4">
        <f t="shared" si="0"/>
        <v>122124</v>
      </c>
      <c r="E22" s="4">
        <f t="shared" si="1"/>
        <v>8564</v>
      </c>
      <c r="F22" s="2">
        <f t="shared" si="2"/>
        <v>14.273333333333333</v>
      </c>
      <c r="G22" s="2">
        <f t="shared" si="3"/>
        <v>217.81333333333333</v>
      </c>
      <c r="I22" s="4">
        <f t="shared" si="4"/>
        <v>646356</v>
      </c>
      <c r="K22" s="2">
        <v>1280.8</v>
      </c>
      <c r="L22" s="2">
        <f t="shared" si="5"/>
        <v>203.54</v>
      </c>
      <c r="M22" s="2">
        <f t="shared" si="5"/>
        <v>1077.26</v>
      </c>
      <c r="N22" s="2">
        <f t="shared" si="6"/>
        <v>1280.8</v>
      </c>
    </row>
    <row r="23" spans="1:14" ht="12.75">
      <c r="A23" s="7">
        <v>6</v>
      </c>
      <c r="B23" s="2">
        <v>240.55</v>
      </c>
      <c r="C23" s="4">
        <v>200</v>
      </c>
      <c r="D23" s="4">
        <f t="shared" si="0"/>
        <v>48110</v>
      </c>
      <c r="E23" s="4">
        <f t="shared" si="1"/>
        <v>3374</v>
      </c>
      <c r="F23" s="2">
        <f t="shared" si="2"/>
        <v>16.87</v>
      </c>
      <c r="G23" s="2">
        <f t="shared" si="3"/>
        <v>257.42</v>
      </c>
      <c r="I23" s="4">
        <f t="shared" si="4"/>
        <v>254623.99999999997</v>
      </c>
      <c r="K23" s="2">
        <v>1513.67</v>
      </c>
      <c r="L23" s="2">
        <f t="shared" si="5"/>
        <v>240.55</v>
      </c>
      <c r="M23" s="2">
        <f t="shared" si="5"/>
        <v>1273.12</v>
      </c>
      <c r="N23" s="2">
        <f t="shared" si="6"/>
        <v>1513.6699999999998</v>
      </c>
    </row>
    <row r="24" spans="1:14" ht="12.75">
      <c r="A24" s="7">
        <v>7</v>
      </c>
      <c r="B24" s="2">
        <v>277.56</v>
      </c>
      <c r="C24" s="4">
        <v>200</v>
      </c>
      <c r="D24" s="4">
        <f t="shared" si="0"/>
        <v>55512</v>
      </c>
      <c r="E24" s="4">
        <f t="shared" si="1"/>
        <v>3893</v>
      </c>
      <c r="F24" s="2">
        <f t="shared" si="2"/>
        <v>19.465</v>
      </c>
      <c r="G24" s="2">
        <f t="shared" si="3"/>
        <v>297.025</v>
      </c>
      <c r="I24" s="4">
        <f t="shared" si="4"/>
        <v>293798</v>
      </c>
      <c r="K24" s="2">
        <v>1746.55</v>
      </c>
      <c r="L24" s="2">
        <f t="shared" si="5"/>
        <v>277.56</v>
      </c>
      <c r="M24" s="2">
        <f t="shared" si="5"/>
        <v>1468.99</v>
      </c>
      <c r="N24" s="2">
        <f t="shared" si="6"/>
        <v>1746.55</v>
      </c>
    </row>
    <row r="25" spans="1:14" ht="12.75">
      <c r="A25" s="7">
        <v>8</v>
      </c>
      <c r="B25" s="2">
        <v>333.07</v>
      </c>
      <c r="C25" s="4">
        <v>200</v>
      </c>
      <c r="D25" s="4">
        <f t="shared" si="0"/>
        <v>66614</v>
      </c>
      <c r="E25" s="4">
        <f t="shared" si="1"/>
        <v>4671</v>
      </c>
      <c r="F25" s="2">
        <f t="shared" si="2"/>
        <v>23.355</v>
      </c>
      <c r="G25" s="2">
        <f t="shared" si="3"/>
        <v>356.425</v>
      </c>
      <c r="I25" s="4">
        <f t="shared" si="4"/>
        <v>352558</v>
      </c>
      <c r="K25" s="2">
        <v>2095.86</v>
      </c>
      <c r="L25" s="2">
        <f t="shared" si="5"/>
        <v>333.07</v>
      </c>
      <c r="M25" s="2">
        <f t="shared" si="5"/>
        <v>1762.79</v>
      </c>
      <c r="N25" s="2">
        <f t="shared" si="6"/>
        <v>2095.86</v>
      </c>
    </row>
    <row r="26" spans="3:13" ht="12.75">
      <c r="C26" s="4">
        <f>SUM(C18:C25)</f>
        <v>27000</v>
      </c>
      <c r="D26" s="4">
        <f>SUM(D18:D25)</f>
        <v>3550869</v>
      </c>
      <c r="E26" s="4">
        <f>SUM(E18:E25)</f>
        <v>249001</v>
      </c>
      <c r="I26" s="4">
        <f>SUM(I18:I25)</f>
        <v>18793252</v>
      </c>
      <c r="L26" s="2">
        <v>4303563</v>
      </c>
      <c r="M26" s="2">
        <f>21131439.68+1645471.54</f>
        <v>22776911.22</v>
      </c>
    </row>
    <row r="27" ht="12.75"/>
    <row r="29" spans="1:14" ht="12.75">
      <c r="A29" s="6" t="s">
        <v>4</v>
      </c>
      <c r="B29" s="2" t="s">
        <v>15</v>
      </c>
      <c r="C29" s="10">
        <v>0.065</v>
      </c>
      <c r="M29" s="2" t="s">
        <v>15</v>
      </c>
      <c r="N29" s="10">
        <v>0.075</v>
      </c>
    </row>
    <row r="31" spans="1:14" ht="12.75">
      <c r="A31" s="7">
        <v>1</v>
      </c>
      <c r="B31" s="2">
        <f>ROUND(B18/(1+C$29),2)</f>
        <v>104.24</v>
      </c>
      <c r="C31" s="10">
        <f>(B18/B31)-1</f>
        <v>0.06504221028396007</v>
      </c>
      <c r="K31" s="2">
        <f>B31+M31</f>
        <v>650.84</v>
      </c>
      <c r="L31" s="10">
        <f>(K18/K31)-1</f>
        <v>0.07341282035523311</v>
      </c>
      <c r="M31" s="2">
        <f>ROUND(M18/(1+N$29),2)</f>
        <v>546.6</v>
      </c>
      <c r="N31" s="10">
        <f>(M18/M31)-1</f>
        <v>0.07500914745700693</v>
      </c>
    </row>
    <row r="32" spans="1:14" ht="12.75">
      <c r="A32" s="7">
        <v>2</v>
      </c>
      <c r="B32" s="2">
        <f aca="true" t="shared" si="7" ref="B32:B38">ROUND(B19/(1+C$29),2)</f>
        <v>121.62</v>
      </c>
      <c r="C32" s="10">
        <f aca="true" t="shared" si="8" ref="C32:C38">(B19/B32)-1</f>
        <v>0.06503864495971046</v>
      </c>
      <c r="K32" s="2">
        <f aca="true" t="shared" si="9" ref="K32:K38">B32+M32</f>
        <v>759.3100000000001</v>
      </c>
      <c r="L32" s="10">
        <f aca="true" t="shared" si="10" ref="L32:L38">(K19/K32)-1</f>
        <v>0.07340875268335711</v>
      </c>
      <c r="M32" s="2">
        <f aca="true" t="shared" si="11" ref="M32:M38">ROUND(M19/(1+N$29),2)</f>
        <v>637.69</v>
      </c>
      <c r="N32" s="10">
        <f aca="true" t="shared" si="12" ref="N32:N38">(M19/M32)-1</f>
        <v>0.07500509652025267</v>
      </c>
    </row>
    <row r="33" spans="1:14" ht="12.75">
      <c r="A33" s="7">
        <v>3</v>
      </c>
      <c r="B33" s="2">
        <f t="shared" si="7"/>
        <v>139</v>
      </c>
      <c r="C33" s="10">
        <f t="shared" si="8"/>
        <v>0.06496402877697838</v>
      </c>
      <c r="K33" s="2">
        <f t="shared" si="9"/>
        <v>867.8</v>
      </c>
      <c r="L33" s="10">
        <f t="shared" si="10"/>
        <v>0.07339248674809862</v>
      </c>
      <c r="M33" s="2">
        <f t="shared" si="11"/>
        <v>728.8</v>
      </c>
      <c r="N33" s="10">
        <f t="shared" si="12"/>
        <v>0.07500000000000018</v>
      </c>
    </row>
    <row r="34" spans="1:14" ht="12.75">
      <c r="A34" s="7">
        <v>4</v>
      </c>
      <c r="B34" s="2">
        <f t="shared" si="7"/>
        <v>156.37</v>
      </c>
      <c r="C34" s="10">
        <f t="shared" si="8"/>
        <v>0.06497409989128355</v>
      </c>
      <c r="K34" s="2">
        <f t="shared" si="9"/>
        <v>976.28</v>
      </c>
      <c r="L34" s="10">
        <f t="shared" si="10"/>
        <v>0.07339083049944706</v>
      </c>
      <c r="M34" s="2">
        <f t="shared" si="11"/>
        <v>819.91</v>
      </c>
      <c r="N34" s="10">
        <f t="shared" si="12"/>
        <v>0.07499603615030925</v>
      </c>
    </row>
    <row r="35" spans="1:14" ht="12.75">
      <c r="A35" s="7">
        <v>5</v>
      </c>
      <c r="B35" s="2">
        <f t="shared" si="7"/>
        <v>191.12</v>
      </c>
      <c r="C35" s="10">
        <f t="shared" si="8"/>
        <v>0.064985349518627</v>
      </c>
      <c r="K35" s="2">
        <f t="shared" si="9"/>
        <v>1193.22</v>
      </c>
      <c r="L35" s="10">
        <f t="shared" si="10"/>
        <v>0.07339803221535002</v>
      </c>
      <c r="M35" s="2">
        <f t="shared" si="11"/>
        <v>1002.1</v>
      </c>
      <c r="N35" s="10">
        <f t="shared" si="12"/>
        <v>0.07500249476100196</v>
      </c>
    </row>
    <row r="36" spans="1:14" ht="12.75">
      <c r="A36" s="7">
        <v>6</v>
      </c>
      <c r="B36" s="2">
        <f t="shared" si="7"/>
        <v>225.87</v>
      </c>
      <c r="C36" s="10">
        <f t="shared" si="8"/>
        <v>0.06499313764554837</v>
      </c>
      <c r="K36" s="2">
        <f t="shared" si="9"/>
        <v>1410.17</v>
      </c>
      <c r="L36" s="10">
        <f t="shared" si="10"/>
        <v>0.07339540622761787</v>
      </c>
      <c r="M36" s="2">
        <f t="shared" si="11"/>
        <v>1184.3</v>
      </c>
      <c r="N36" s="10">
        <f t="shared" si="12"/>
        <v>0.07499788904838289</v>
      </c>
    </row>
    <row r="37" spans="1:14" ht="12.75">
      <c r="A37" s="7">
        <v>7</v>
      </c>
      <c r="B37" s="2">
        <f t="shared" si="7"/>
        <v>260.62</v>
      </c>
      <c r="C37" s="10">
        <f t="shared" si="8"/>
        <v>0.06499884889877983</v>
      </c>
      <c r="K37" s="2">
        <f t="shared" si="9"/>
        <v>1627.12</v>
      </c>
      <c r="L37" s="10">
        <f t="shared" si="10"/>
        <v>0.07339962633364472</v>
      </c>
      <c r="M37" s="2">
        <f t="shared" si="11"/>
        <v>1366.5</v>
      </c>
      <c r="N37" s="10">
        <f t="shared" si="12"/>
        <v>0.07500182949140144</v>
      </c>
    </row>
    <row r="38" spans="1:14" ht="12.75">
      <c r="A38" s="7">
        <v>8</v>
      </c>
      <c r="B38" s="2">
        <f t="shared" si="7"/>
        <v>312.74</v>
      </c>
      <c r="C38" s="10">
        <f t="shared" si="8"/>
        <v>0.06500607533414327</v>
      </c>
      <c r="K38" s="2">
        <f t="shared" si="9"/>
        <v>1952.54</v>
      </c>
      <c r="L38" s="10">
        <f t="shared" si="10"/>
        <v>0.0734018253147184</v>
      </c>
      <c r="M38" s="2">
        <f t="shared" si="11"/>
        <v>1639.8</v>
      </c>
      <c r="N38" s="10">
        <f t="shared" si="12"/>
        <v>0.07500304915233569</v>
      </c>
    </row>
  </sheetData>
  <mergeCells count="1">
    <mergeCell ref="F1:G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3"/>
  <headerFooter alignWithMargins="0">
    <oddFooter>&amp;L&amp;F   &amp;A   &amp;D&amp;RPage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5.8515625" style="1" customWidth="1"/>
    <col min="2" max="2" width="10.28125" style="2" customWidth="1"/>
    <col min="3" max="3" width="7.421875" style="2" customWidth="1"/>
    <col min="4" max="4" width="10.7109375" style="2" customWidth="1"/>
    <col min="5" max="5" width="10.28125" style="2" customWidth="1"/>
    <col min="6" max="6" width="12.00390625" style="2" customWidth="1"/>
    <col min="7" max="7" width="9.57421875" style="2" customWidth="1"/>
    <col min="8" max="8" width="9.28125" style="0" customWidth="1"/>
    <col min="9" max="9" width="9.7109375" style="28" customWidth="1"/>
    <col min="10" max="16384" width="9.140625" style="2" customWidth="1"/>
  </cols>
  <sheetData>
    <row r="1" spans="1:9" ht="15.75">
      <c r="A1" s="70" t="s">
        <v>33</v>
      </c>
      <c r="B1" s="70"/>
      <c r="C1" s="70"/>
      <c r="D1" s="70"/>
      <c r="E1" s="70"/>
      <c r="F1" s="70"/>
      <c r="G1" s="70"/>
      <c r="H1" s="70"/>
      <c r="I1" s="70"/>
    </row>
    <row r="2" spans="1:9" s="16" customFormat="1" ht="12.75">
      <c r="A2" s="37"/>
      <c r="B2" s="38"/>
      <c r="C2" s="38"/>
      <c r="D2" s="38"/>
      <c r="E2" s="38"/>
      <c r="F2" s="38"/>
      <c r="G2" s="39"/>
      <c r="H2" s="38"/>
      <c r="I2" s="40"/>
    </row>
    <row r="3" spans="1:9" s="16" customFormat="1" ht="18.75">
      <c r="A3" s="42" t="s">
        <v>34</v>
      </c>
      <c r="B3" s="38"/>
      <c r="C3" s="38"/>
      <c r="D3" s="38"/>
      <c r="E3" s="38"/>
      <c r="F3" s="39"/>
      <c r="G3" s="39"/>
      <c r="H3" s="38"/>
      <c r="I3" s="41"/>
    </row>
    <row r="4" spans="1:9" s="16" customFormat="1" ht="12.75">
      <c r="A4" s="38"/>
      <c r="B4" s="38"/>
      <c r="C4" s="38"/>
      <c r="D4" s="38"/>
      <c r="E4" s="38"/>
      <c r="F4" s="39"/>
      <c r="G4" s="39"/>
      <c r="H4" s="38"/>
      <c r="I4" s="41"/>
    </row>
    <row r="5" spans="6:9" s="16" customFormat="1" ht="12.75">
      <c r="F5" s="17"/>
      <c r="G5" s="17"/>
      <c r="I5" s="27"/>
    </row>
    <row r="6" spans="6:9" s="16" customFormat="1" ht="12.75">
      <c r="F6" s="17"/>
      <c r="G6" s="17"/>
      <c r="I6" s="36" t="s">
        <v>29</v>
      </c>
    </row>
    <row r="7" spans="1:9" ht="12.75">
      <c r="A7" s="43" t="s">
        <v>35</v>
      </c>
      <c r="F7" s="13"/>
      <c r="G7" s="13"/>
      <c r="I7" s="2"/>
    </row>
    <row r="8" spans="1:9" ht="12.75">
      <c r="A8" s="43"/>
      <c r="F8" s="17" t="s">
        <v>36</v>
      </c>
      <c r="G8" s="17" t="s">
        <v>37</v>
      </c>
      <c r="I8" s="2"/>
    </row>
    <row r="9" spans="1:9" s="16" customFormat="1" ht="12.75">
      <c r="A9" s="15"/>
      <c r="F9" s="15" t="s">
        <v>6</v>
      </c>
      <c r="G9" s="15" t="s">
        <v>6</v>
      </c>
      <c r="H9" s="15" t="s">
        <v>6</v>
      </c>
      <c r="I9" s="31"/>
    </row>
    <row r="10" spans="1:10" s="16" customFormat="1" ht="12.75">
      <c r="A10" s="20" t="s">
        <v>19</v>
      </c>
      <c r="F10" s="16">
        <v>203.54</v>
      </c>
      <c r="G10" s="16">
        <v>1077.27</v>
      </c>
      <c r="H10" s="16">
        <f>SUM(F10:G10)</f>
        <v>1280.81</v>
      </c>
      <c r="I10" s="31">
        <v>6</v>
      </c>
      <c r="J10" s="65"/>
    </row>
    <row r="11" spans="1:10" s="16" customFormat="1" ht="12.75">
      <c r="A11" s="20" t="s">
        <v>20</v>
      </c>
      <c r="F11" s="21">
        <v>0.065</v>
      </c>
      <c r="G11" s="21">
        <v>0.075</v>
      </c>
      <c r="I11" s="31">
        <v>6</v>
      </c>
      <c r="J11" s="65"/>
    </row>
    <row r="12" spans="1:10" s="16" customFormat="1" ht="12.75">
      <c r="A12" s="20" t="s">
        <v>28</v>
      </c>
      <c r="F12" s="16">
        <f>ROUND(F10/(1+F11),2)</f>
        <v>191.12</v>
      </c>
      <c r="G12" s="16">
        <f>ROUND(G10/(1+G11),2)</f>
        <v>1002.11</v>
      </c>
      <c r="H12" s="16">
        <f>SUM(F12:G12)</f>
        <v>1193.23</v>
      </c>
      <c r="I12" s="31"/>
      <c r="J12" s="65"/>
    </row>
    <row r="13" spans="1:10" s="16" customFormat="1" ht="12.75">
      <c r="A13" s="20"/>
      <c r="I13" s="31"/>
      <c r="J13" s="65"/>
    </row>
    <row r="14" spans="1:10" s="16" customFormat="1" ht="12.75">
      <c r="A14" s="20" t="s">
        <v>30</v>
      </c>
      <c r="H14" s="21">
        <f>ROUND((H10/H12)-1,4)</f>
        <v>0.0734</v>
      </c>
      <c r="I14" s="31"/>
      <c r="J14" s="67" t="s">
        <v>45</v>
      </c>
    </row>
    <row r="15" spans="1:9" s="16" customFormat="1" ht="12.75">
      <c r="A15" s="20"/>
      <c r="G15" s="17"/>
      <c r="I15" s="31"/>
    </row>
    <row r="16" spans="1:9" s="16" customFormat="1" ht="12.75">
      <c r="A16" s="43" t="s">
        <v>43</v>
      </c>
      <c r="G16" s="17"/>
      <c r="I16" s="31"/>
    </row>
    <row r="17" spans="1:9" s="16" customFormat="1" ht="12.75">
      <c r="A17" s="18"/>
      <c r="G17" s="17"/>
      <c r="I17" s="31"/>
    </row>
    <row r="18" spans="4:9" s="19" customFormat="1" ht="38.25">
      <c r="D18" s="19" t="s">
        <v>23</v>
      </c>
      <c r="E18" s="19" t="s">
        <v>24</v>
      </c>
      <c r="F18" s="19" t="s">
        <v>25</v>
      </c>
      <c r="G18" s="19" t="s">
        <v>26</v>
      </c>
      <c r="I18" s="29"/>
    </row>
    <row r="19" spans="1:9" s="16" customFormat="1" ht="12.75">
      <c r="A19" s="20"/>
      <c r="D19" s="15"/>
      <c r="E19" s="15"/>
      <c r="G19" s="17"/>
      <c r="I19" s="31"/>
    </row>
    <row r="20" spans="1:9" s="16" customFormat="1" ht="12.75">
      <c r="A20" s="20" t="s">
        <v>21</v>
      </c>
      <c r="D20" s="23">
        <v>0.08</v>
      </c>
      <c r="E20" s="23">
        <v>0.09</v>
      </c>
      <c r="F20" s="56">
        <v>1</v>
      </c>
      <c r="G20" s="55">
        <f>(+E20/D20)-1</f>
        <v>0.125</v>
      </c>
      <c r="I20" s="31" t="s">
        <v>27</v>
      </c>
    </row>
    <row r="21" spans="1:10" s="16" customFormat="1" ht="12.75">
      <c r="A21" s="20" t="s">
        <v>22</v>
      </c>
      <c r="D21" s="23">
        <v>0.13</v>
      </c>
      <c r="E21" s="23">
        <v>0.15</v>
      </c>
      <c r="F21" s="56">
        <v>2</v>
      </c>
      <c r="G21" s="55">
        <f>(+E21/D21)-1</f>
        <v>0.15384615384615374</v>
      </c>
      <c r="I21" s="31" t="s">
        <v>27</v>
      </c>
      <c r="J21" s="67" t="s">
        <v>45</v>
      </c>
    </row>
    <row r="22" spans="1:9" s="16" customFormat="1" ht="12.75">
      <c r="A22" s="20"/>
      <c r="G22" s="17"/>
      <c r="I22" s="31"/>
    </row>
    <row r="23" spans="1:9" ht="12.75">
      <c r="A23" s="14"/>
      <c r="F23" s="13"/>
      <c r="G23" s="13"/>
      <c r="I23" s="32"/>
    </row>
    <row r="24" spans="1:9" ht="15.75">
      <c r="A24" s="70" t="s">
        <v>40</v>
      </c>
      <c r="B24" s="70"/>
      <c r="C24" s="70"/>
      <c r="D24" s="70"/>
      <c r="E24" s="70"/>
      <c r="F24" s="70"/>
      <c r="G24" s="70"/>
      <c r="H24" s="70"/>
      <c r="I24" s="70"/>
    </row>
    <row r="25" spans="1:9" ht="12.75">
      <c r="A25" s="37"/>
      <c r="B25" s="38"/>
      <c r="C25" s="38"/>
      <c r="D25" s="38"/>
      <c r="E25" s="38"/>
      <c r="F25" s="38"/>
      <c r="G25" s="39"/>
      <c r="H25" s="38"/>
      <c r="I25" s="40"/>
    </row>
    <row r="26" spans="1:9" ht="18.75">
      <c r="A26" s="42" t="s">
        <v>34</v>
      </c>
      <c r="B26" s="38"/>
      <c r="C26" s="38"/>
      <c r="D26" s="38"/>
      <c r="E26" s="38"/>
      <c r="F26" s="39"/>
      <c r="G26" s="39"/>
      <c r="H26" s="38"/>
      <c r="I26" s="41"/>
    </row>
    <row r="27" spans="1:9" ht="12.75">
      <c r="A27" s="38"/>
      <c r="B27" s="38"/>
      <c r="C27" s="38"/>
      <c r="D27" s="38"/>
      <c r="E27" s="38"/>
      <c r="F27" s="39"/>
      <c r="G27" s="39"/>
      <c r="H27" s="38"/>
      <c r="I27" s="41"/>
    </row>
    <row r="28" spans="1:9" ht="12.75">
      <c r="A28" s="16"/>
      <c r="B28" s="16"/>
      <c r="C28" s="16"/>
      <c r="D28" s="16"/>
      <c r="E28" s="16"/>
      <c r="F28" s="17"/>
      <c r="G28" s="17"/>
      <c r="H28" s="16"/>
      <c r="I28" s="27"/>
    </row>
    <row r="29" spans="6:9" s="16" customFormat="1" ht="12.75">
      <c r="F29" s="17"/>
      <c r="G29" s="17"/>
      <c r="I29" s="36" t="s">
        <v>29</v>
      </c>
    </row>
    <row r="30" spans="1:9" s="16" customFormat="1" ht="12.75">
      <c r="A30" s="50" t="s">
        <v>41</v>
      </c>
      <c r="I30" s="31"/>
    </row>
    <row r="31" s="16" customFormat="1" ht="12.75">
      <c r="I31" s="31"/>
    </row>
    <row r="32" spans="1:9" s="16" customFormat="1" ht="12.75">
      <c r="A32" s="16" t="s">
        <v>32</v>
      </c>
      <c r="E32" s="35">
        <v>17000</v>
      </c>
      <c r="F32" s="20" t="s">
        <v>2</v>
      </c>
      <c r="I32" s="31">
        <v>14</v>
      </c>
    </row>
    <row r="33" spans="1:9" s="16" customFormat="1" ht="12.75">
      <c r="A33" s="16" t="s">
        <v>7</v>
      </c>
      <c r="C33" s="23">
        <v>0.1</v>
      </c>
      <c r="D33" s="15" t="s">
        <v>31</v>
      </c>
      <c r="E33" s="35">
        <f>ROUND(E32*C33,0)</f>
        <v>1700</v>
      </c>
      <c r="F33" s="20" t="s">
        <v>2</v>
      </c>
      <c r="I33" s="31" t="s">
        <v>44</v>
      </c>
    </row>
    <row r="34" spans="2:9" s="16" customFormat="1" ht="12.75">
      <c r="B34" s="23"/>
      <c r="I34" s="31"/>
    </row>
    <row r="35" spans="1:9" s="16" customFormat="1" ht="12.75">
      <c r="A35" s="16" t="s">
        <v>9</v>
      </c>
      <c r="B35" s="23"/>
      <c r="E35" s="34">
        <v>150</v>
      </c>
      <c r="I35" s="31" t="s">
        <v>44</v>
      </c>
    </row>
    <row r="36" spans="2:9" s="16" customFormat="1" ht="12.75">
      <c r="B36" s="23"/>
      <c r="E36" s="22"/>
      <c r="I36" s="31"/>
    </row>
    <row r="37" spans="1:10" s="16" customFormat="1" ht="12.75">
      <c r="A37" s="16" t="s">
        <v>8</v>
      </c>
      <c r="B37" s="23"/>
      <c r="E37" s="34">
        <f>E33*E35</f>
        <v>255000</v>
      </c>
      <c r="I37" s="31"/>
      <c r="J37" s="66" t="s">
        <v>46</v>
      </c>
    </row>
    <row r="38" spans="2:9" s="16" customFormat="1" ht="12.75">
      <c r="B38" s="23"/>
      <c r="E38" s="34"/>
      <c r="I38" s="31"/>
    </row>
    <row r="39" spans="1:9" s="16" customFormat="1" ht="12.75">
      <c r="A39" s="43" t="s">
        <v>42</v>
      </c>
      <c r="I39" s="31"/>
    </row>
    <row r="40" spans="1:9" s="16" customFormat="1" ht="12.75">
      <c r="A40" s="15"/>
      <c r="B40" s="24"/>
      <c r="I40" s="31"/>
    </row>
    <row r="41" spans="1:9" s="19" customFormat="1" ht="38.25">
      <c r="A41" s="19" t="s">
        <v>4</v>
      </c>
      <c r="B41" s="19" t="s">
        <v>5</v>
      </c>
      <c r="C41" s="19" t="s">
        <v>1</v>
      </c>
      <c r="D41" s="19" t="s">
        <v>11</v>
      </c>
      <c r="E41" s="19" t="s">
        <v>10</v>
      </c>
      <c r="F41" s="19" t="s">
        <v>12</v>
      </c>
      <c r="G41" s="19" t="s">
        <v>13</v>
      </c>
      <c r="H41" s="19" t="s">
        <v>38</v>
      </c>
      <c r="I41" s="29"/>
    </row>
    <row r="42" spans="2:9" s="15" customFormat="1" ht="12.75">
      <c r="B42" s="15" t="s">
        <v>6</v>
      </c>
      <c r="D42" s="15" t="s">
        <v>6</v>
      </c>
      <c r="E42" s="63" t="s">
        <v>6</v>
      </c>
      <c r="F42" s="15" t="s">
        <v>6</v>
      </c>
      <c r="G42" s="15" t="s">
        <v>6</v>
      </c>
      <c r="H42" s="15" t="s">
        <v>39</v>
      </c>
      <c r="I42" s="31"/>
    </row>
    <row r="43" spans="1:9" s="16" customFormat="1" ht="12.75">
      <c r="A43" s="25">
        <v>1</v>
      </c>
      <c r="B43" s="16">
        <v>111.02</v>
      </c>
      <c r="C43" s="22">
        <v>11500</v>
      </c>
      <c r="D43" s="22">
        <f>B43*C43</f>
        <v>1276730</v>
      </c>
      <c r="E43" s="58">
        <f>(D43/D$51)*E$37</f>
        <v>91689.92010093699</v>
      </c>
      <c r="F43" s="44">
        <f>ROUND(E43/C43,2)</f>
        <v>7.97</v>
      </c>
      <c r="G43" s="44">
        <f>B43+F43</f>
        <v>118.99</v>
      </c>
      <c r="H43" s="45">
        <f aca="true" t="shared" si="0" ref="H43:H50">+F43/B43*100</f>
        <v>7.178886687083407</v>
      </c>
      <c r="I43" s="31">
        <v>6</v>
      </c>
    </row>
    <row r="44" spans="1:9" s="16" customFormat="1" ht="12.75">
      <c r="A44" s="25">
        <v>2</v>
      </c>
      <c r="B44" s="16">
        <v>129.52</v>
      </c>
      <c r="C44" s="22">
        <v>8300</v>
      </c>
      <c r="D44" s="22">
        <f aca="true" t="shared" si="1" ref="D44:D50">B44*C44</f>
        <v>1075016</v>
      </c>
      <c r="E44" s="59">
        <f aca="true" t="shared" si="2" ref="E44:E50">(D44/D$51)*E$37</f>
        <v>77203.58348846575</v>
      </c>
      <c r="F44" s="46">
        <f aca="true" t="shared" si="3" ref="F44:F50">ROUND(E44/C44,2)</f>
        <v>9.3</v>
      </c>
      <c r="G44" s="46">
        <f aca="true" t="shared" si="4" ref="G44:G50">B44+F44</f>
        <v>138.82000000000002</v>
      </c>
      <c r="H44" s="47">
        <f t="shared" si="0"/>
        <v>7.180358245830759</v>
      </c>
      <c r="I44" s="31">
        <v>6</v>
      </c>
    </row>
    <row r="45" spans="1:9" s="16" customFormat="1" ht="12.75">
      <c r="A45" s="25">
        <v>3</v>
      </c>
      <c r="B45" s="16">
        <v>148.02</v>
      </c>
      <c r="C45" s="22">
        <v>5000</v>
      </c>
      <c r="D45" s="22">
        <f t="shared" si="1"/>
        <v>740100</v>
      </c>
      <c r="E45" s="59">
        <f t="shared" si="2"/>
        <v>53151.18299617262</v>
      </c>
      <c r="F45" s="46">
        <f t="shared" si="3"/>
        <v>10.63</v>
      </c>
      <c r="G45" s="46">
        <f t="shared" si="4"/>
        <v>158.65</v>
      </c>
      <c r="H45" s="47">
        <f t="shared" si="0"/>
        <v>7.181461964599379</v>
      </c>
      <c r="I45" s="31">
        <v>6</v>
      </c>
    </row>
    <row r="46" spans="1:9" s="16" customFormat="1" ht="12.75">
      <c r="A46" s="25">
        <v>4</v>
      </c>
      <c r="B46" s="16">
        <v>166.53</v>
      </c>
      <c r="C46" s="22">
        <v>1000</v>
      </c>
      <c r="D46" s="22">
        <f t="shared" si="1"/>
        <v>166530</v>
      </c>
      <c r="E46" s="64">
        <f t="shared" si="2"/>
        <v>11959.55479577439</v>
      </c>
      <c r="F46" s="48">
        <f t="shared" si="3"/>
        <v>11.96</v>
      </c>
      <c r="G46" s="48">
        <f t="shared" si="4"/>
        <v>178.49</v>
      </c>
      <c r="H46" s="49">
        <f t="shared" si="0"/>
        <v>7.181889149102265</v>
      </c>
      <c r="I46" s="31">
        <v>6</v>
      </c>
    </row>
    <row r="47" spans="1:10" s="16" customFormat="1" ht="12.75">
      <c r="A47" s="52">
        <v>5</v>
      </c>
      <c r="B47" s="33">
        <v>203.54</v>
      </c>
      <c r="C47" s="53">
        <v>600</v>
      </c>
      <c r="D47" s="57">
        <f t="shared" si="1"/>
        <v>122124</v>
      </c>
      <c r="E47" s="60">
        <f t="shared" si="2"/>
        <v>8770.483816004033</v>
      </c>
      <c r="F47" s="33">
        <f t="shared" si="3"/>
        <v>14.62</v>
      </c>
      <c r="G47" s="54">
        <f t="shared" si="4"/>
        <v>218.16</v>
      </c>
      <c r="H47" s="33">
        <f t="shared" si="0"/>
        <v>7.182863319249287</v>
      </c>
      <c r="I47" s="31">
        <v>6</v>
      </c>
      <c r="J47" s="68" t="s">
        <v>47</v>
      </c>
    </row>
    <row r="48" spans="1:9" s="16" customFormat="1" ht="12.75">
      <c r="A48" s="25">
        <v>6</v>
      </c>
      <c r="B48" s="16">
        <v>240.54</v>
      </c>
      <c r="C48" s="22">
        <v>200</v>
      </c>
      <c r="D48" s="22">
        <f t="shared" si="1"/>
        <v>48108</v>
      </c>
      <c r="E48" s="58">
        <f t="shared" si="2"/>
        <v>3454.9346190783303</v>
      </c>
      <c r="F48" s="44">
        <f t="shared" si="3"/>
        <v>17.27</v>
      </c>
      <c r="G48" s="44">
        <f t="shared" si="4"/>
        <v>257.81</v>
      </c>
      <c r="H48" s="45">
        <f t="shared" si="0"/>
        <v>7.179679055458552</v>
      </c>
      <c r="I48" s="31">
        <v>6</v>
      </c>
    </row>
    <row r="49" spans="1:9" s="16" customFormat="1" ht="12.75">
      <c r="A49" s="25">
        <v>7</v>
      </c>
      <c r="B49" s="16">
        <v>277.55</v>
      </c>
      <c r="C49" s="22">
        <v>200</v>
      </c>
      <c r="D49" s="22">
        <f t="shared" si="1"/>
        <v>55510</v>
      </c>
      <c r="E49" s="59">
        <f>((D49/D$51)*E$37)-0.05</f>
        <v>3986.4682652581296</v>
      </c>
      <c r="F49" s="46">
        <f t="shared" si="3"/>
        <v>19.93</v>
      </c>
      <c r="G49" s="46">
        <f t="shared" si="4"/>
        <v>297.48</v>
      </c>
      <c r="H49" s="47">
        <f t="shared" si="0"/>
        <v>7.180688164294721</v>
      </c>
      <c r="I49" s="31">
        <v>6</v>
      </c>
    </row>
    <row r="50" spans="1:9" s="16" customFormat="1" ht="12.75">
      <c r="A50" s="25">
        <v>8</v>
      </c>
      <c r="B50" s="16">
        <v>333.06</v>
      </c>
      <c r="C50" s="22">
        <v>200</v>
      </c>
      <c r="D50" s="62">
        <f t="shared" si="1"/>
        <v>66612</v>
      </c>
      <c r="E50" s="64">
        <f t="shared" si="2"/>
        <v>4783.821918309756</v>
      </c>
      <c r="F50" s="48">
        <f t="shared" si="3"/>
        <v>23.92</v>
      </c>
      <c r="G50" s="48">
        <f t="shared" si="4"/>
        <v>356.98</v>
      </c>
      <c r="H50" s="49">
        <f t="shared" si="0"/>
        <v>7.181889149102265</v>
      </c>
      <c r="I50" s="31">
        <v>6</v>
      </c>
    </row>
    <row r="51" spans="1:9" s="16" customFormat="1" ht="13.5" thickBot="1">
      <c r="A51" s="15"/>
      <c r="C51" s="51">
        <f>SUM(C43:C50)</f>
        <v>27000</v>
      </c>
      <c r="D51" s="61">
        <f>SUM(D43:D50)</f>
        <v>3550730</v>
      </c>
      <c r="E51" s="51">
        <f>SUM(E43:E50)</f>
        <v>254999.94999999998</v>
      </c>
      <c r="I51" s="30"/>
    </row>
    <row r="52" ht="13.5" thickTop="1"/>
  </sheetData>
  <mergeCells count="2">
    <mergeCell ref="A1:I1"/>
    <mergeCell ref="A24:I24"/>
  </mergeCells>
  <printOptions horizontalCentered="1"/>
  <pageMargins left="0.7480314960629921" right="0.17" top="0.52" bottom="0.57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AF37"/>
  <sheetViews>
    <sheetView workbookViewId="0" topLeftCell="A1">
      <selection activeCell="A1" sqref="A1:AW18"/>
    </sheetView>
  </sheetViews>
  <sheetFormatPr defaultColWidth="9.140625" defaultRowHeight="12.75"/>
  <cols>
    <col min="1" max="1" width="9.140625" style="1" customWidth="1"/>
    <col min="2" max="2" width="13.140625" style="2" bestFit="1" customWidth="1"/>
    <col min="3" max="4" width="14.57421875" style="2" customWidth="1"/>
    <col min="6" max="6" width="13.8515625" style="0" bestFit="1" customWidth="1"/>
    <col min="7" max="7" width="13.8515625" style="2" bestFit="1" customWidth="1"/>
    <col min="8" max="9" width="9.140625" style="2" customWidth="1"/>
    <col min="10" max="10" width="4.00390625" style="4" bestFit="1" customWidth="1"/>
    <col min="11" max="12" width="13.8515625" style="2" bestFit="1" customWidth="1"/>
    <col min="13" max="13" width="12.7109375" style="2" bestFit="1" customWidth="1"/>
    <col min="14" max="14" width="10.140625" style="2" bestFit="1" customWidth="1"/>
    <col min="15" max="17" width="9.140625" style="2" customWidth="1"/>
    <col min="18" max="20" width="13.8515625" style="2" bestFit="1" customWidth="1"/>
    <col min="21" max="21" width="11.140625" style="2" bestFit="1" customWidth="1"/>
    <col min="22" max="16384" width="9.140625" style="2" customWidth="1"/>
  </cols>
  <sheetData>
    <row r="19" s="6" customFormat="1" ht="12.75">
      <c r="J19" s="12"/>
    </row>
    <row r="20" spans="10:32" s="1" customFormat="1" ht="12.75">
      <c r="J20" s="7"/>
      <c r="Q20" s="7"/>
      <c r="X20" s="7"/>
      <c r="Y20" s="7"/>
      <c r="Z20" s="7"/>
      <c r="AD20" s="7"/>
      <c r="AE20" s="7"/>
      <c r="AF20" s="7"/>
    </row>
    <row r="21" spans="1:32" ht="12.75">
      <c r="A21" s="7"/>
      <c r="B21" s="4"/>
      <c r="E21" s="2"/>
      <c r="F21" s="2"/>
      <c r="Q21" s="4"/>
      <c r="X21" s="4"/>
      <c r="Y21" s="4"/>
      <c r="Z21" s="4"/>
      <c r="AD21" s="4"/>
      <c r="AE21" s="4"/>
      <c r="AF21" s="4"/>
    </row>
    <row r="22" spans="1:32" ht="12.75">
      <c r="A22" s="7"/>
      <c r="B22" s="4"/>
      <c r="E22" s="2"/>
      <c r="F22" s="2"/>
      <c r="Q22" s="4"/>
      <c r="X22" s="4"/>
      <c r="Y22" s="4"/>
      <c r="Z22" s="4"/>
      <c r="AD22" s="4"/>
      <c r="AE22" s="4"/>
      <c r="AF22" s="4"/>
    </row>
    <row r="23" spans="1:32" ht="12.75">
      <c r="A23" s="7"/>
      <c r="B23" s="4"/>
      <c r="E23" s="2"/>
      <c r="F23" s="2"/>
      <c r="Q23" s="4"/>
      <c r="X23" s="4"/>
      <c r="Y23" s="4"/>
      <c r="Z23" s="4"/>
      <c r="AD23" s="4"/>
      <c r="AE23" s="4"/>
      <c r="AF23" s="4"/>
    </row>
    <row r="24" spans="1:32" ht="12.75">
      <c r="A24" s="7"/>
      <c r="B24" s="4"/>
      <c r="E24" s="2"/>
      <c r="F24" s="2"/>
      <c r="Q24" s="4"/>
      <c r="X24" s="4"/>
      <c r="Y24" s="4"/>
      <c r="Z24" s="4"/>
      <c r="AD24" s="4"/>
      <c r="AE24" s="4"/>
      <c r="AF24" s="4"/>
    </row>
    <row r="25" spans="1:32" ht="12.75">
      <c r="A25" s="7"/>
      <c r="B25" s="4"/>
      <c r="E25" s="2"/>
      <c r="F25" s="2"/>
      <c r="Q25" s="4"/>
      <c r="X25" s="4"/>
      <c r="Y25" s="4"/>
      <c r="Z25" s="4"/>
      <c r="AD25" s="4"/>
      <c r="AE25" s="4"/>
      <c r="AF25" s="4"/>
    </row>
    <row r="26" spans="1:32" ht="12.75">
      <c r="A26" s="7"/>
      <c r="B26" s="4"/>
      <c r="E26" s="2"/>
      <c r="F26" s="2"/>
      <c r="Q26" s="4"/>
      <c r="X26" s="4"/>
      <c r="Y26" s="4"/>
      <c r="Z26" s="4"/>
      <c r="AD26" s="4"/>
      <c r="AE26" s="4"/>
      <c r="AF26" s="4"/>
    </row>
    <row r="27" spans="1:32" ht="12.75">
      <c r="A27" s="7"/>
      <c r="B27" s="4"/>
      <c r="E27" s="2"/>
      <c r="F27" s="2"/>
      <c r="Q27" s="4"/>
      <c r="X27" s="4"/>
      <c r="Y27" s="4"/>
      <c r="Z27" s="4"/>
      <c r="AD27" s="4"/>
      <c r="AE27" s="4"/>
      <c r="AF27" s="4"/>
    </row>
    <row r="28" spans="1:32" ht="12.75">
      <c r="A28" s="7"/>
      <c r="B28" s="4"/>
      <c r="E28" s="2"/>
      <c r="F28" s="2"/>
      <c r="Q28" s="4"/>
      <c r="X28" s="4"/>
      <c r="Y28" s="4"/>
      <c r="Z28" s="4"/>
      <c r="AD28" s="4"/>
      <c r="AE28" s="4"/>
      <c r="AF28" s="4"/>
    </row>
    <row r="29" spans="2:32" ht="12.75">
      <c r="B29" s="4"/>
      <c r="F29" s="11"/>
      <c r="Q29" s="4"/>
      <c r="X29" s="4"/>
      <c r="Y29" s="4"/>
      <c r="Z29" s="4"/>
      <c r="AD29" s="4"/>
      <c r="AE29" s="4"/>
      <c r="AF29" s="4"/>
    </row>
    <row r="30" spans="17:32" ht="12.75">
      <c r="Q30" s="4"/>
      <c r="X30" s="4"/>
      <c r="Y30" s="4"/>
      <c r="Z30" s="4"/>
      <c r="AD30" s="4"/>
      <c r="AE30" s="4"/>
      <c r="AF30" s="4"/>
    </row>
    <row r="31" spans="17:32" ht="12.75">
      <c r="Q31" s="4"/>
      <c r="X31" s="4"/>
      <c r="Y31" s="4"/>
      <c r="Z31" s="4"/>
      <c r="AD31" s="4"/>
      <c r="AE31" s="4"/>
      <c r="AF31" s="4"/>
    </row>
    <row r="32" spans="17:32" ht="12.75">
      <c r="Q32" s="4"/>
      <c r="X32" s="4"/>
      <c r="Y32" s="4"/>
      <c r="Z32" s="4"/>
      <c r="AD32" s="4"/>
      <c r="AE32" s="4"/>
      <c r="AF32" s="4"/>
    </row>
    <row r="33" ht="12.75">
      <c r="Q33" s="4"/>
    </row>
    <row r="35" ht="12.75">
      <c r="B35" s="26"/>
    </row>
    <row r="37" ht="12.75">
      <c r="B37" s="5">
        <v>0.01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  <headerFooter alignWithMargins="0">
    <oddFooter>&amp;L&amp;F   &amp;A  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E.J. Shirer</dc:creator>
  <cp:keywords/>
  <dc:description/>
  <cp:lastModifiedBy>supervisor</cp:lastModifiedBy>
  <cp:lastPrinted>2004-06-20T11:36:54Z</cp:lastPrinted>
  <dcterms:created xsi:type="dcterms:W3CDTF">1999-06-30T19:17:30Z</dcterms:created>
  <dcterms:modified xsi:type="dcterms:W3CDTF">2004-08-23T14:11:31Z</dcterms:modified>
  <cp:category/>
  <cp:version/>
  <cp:contentType/>
  <cp:contentStatus/>
</cp:coreProperties>
</file>