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App B1" sheetId="1" r:id="rId1"/>
    <sheet name="App B2" sheetId="2" r:id="rId2"/>
    <sheet name="App B3" sheetId="3" r:id="rId3"/>
    <sheet name="App B4" sheetId="4" r:id="rId4"/>
    <sheet name="App B5" sheetId="5" r:id="rId5"/>
    <sheet name="Staff Time" sheetId="6" r:id="rId6"/>
  </sheets>
  <definedNames>
    <definedName name="AppB1">'App B1'!$A$1:$J$25</definedName>
    <definedName name="AppB2">'App B2'!$A$1:$L$43</definedName>
    <definedName name="AppB3">'App B3'!$A$1:$L$65</definedName>
    <definedName name="AppB4">'App B4'!$A$1:$J$51</definedName>
    <definedName name="AppB5">'App B5'!$A$1:$K$56</definedName>
    <definedName name="_xlnm.Print_Area" localSheetId="0">'App B1'!$A$1:$J$25</definedName>
    <definedName name="_xlnm.Print_Area" localSheetId="1">'App B2'!$A$1:$L$43</definedName>
    <definedName name="_xlnm.Print_Area" localSheetId="2">'App B3'!$A$1:$L$65</definedName>
    <definedName name="_xlnm.Print_Area" localSheetId="3">'App B4'!$A$1:$J$51</definedName>
    <definedName name="_xlnm.Print_Area" localSheetId="4">'App B5'!$A$1:$K$56</definedName>
  </definedNames>
  <calcPr fullCalcOnLoad="1"/>
</workbook>
</file>

<file path=xl/sharedStrings.xml><?xml version="1.0" encoding="utf-8"?>
<sst xmlns="http://schemas.openxmlformats.org/spreadsheetml/2006/main" count="346" uniqueCount="214">
  <si>
    <t>Appendix B1</t>
  </si>
  <si>
    <t>Staffing budget : establishment</t>
  </si>
  <si>
    <t>2004</t>
  </si>
  <si>
    <t>Moorings</t>
  </si>
  <si>
    <t>Deputy HM</t>
  </si>
  <si>
    <t>Berthing Master</t>
  </si>
  <si>
    <t>Asst HM 1</t>
  </si>
  <si>
    <t>Asst HM 2</t>
  </si>
  <si>
    <t>Asst HM 3</t>
  </si>
  <si>
    <t xml:space="preserve">Asst HM 4 </t>
  </si>
  <si>
    <t>Asst HM 5 p/t</t>
  </si>
  <si>
    <t xml:space="preserve">Seasonals - </t>
  </si>
  <si>
    <t>Harbour Dues</t>
  </si>
  <si>
    <t>Berthing Master expected to return 1 January</t>
  </si>
  <si>
    <t>£</t>
  </si>
  <si>
    <t>Base</t>
  </si>
  <si>
    <t>Apportioned across :</t>
  </si>
  <si>
    <t xml:space="preserve">Budget for </t>
  </si>
  <si>
    <t xml:space="preserve">Harbour </t>
  </si>
  <si>
    <t>Dues</t>
  </si>
  <si>
    <t>Premises</t>
  </si>
  <si>
    <t>Transport</t>
  </si>
  <si>
    <t>Environmental Maintenance</t>
  </si>
  <si>
    <t>Mooring Maintenance</t>
  </si>
  <si>
    <t>Navigational aids</t>
  </si>
  <si>
    <t>CCTV</t>
  </si>
  <si>
    <t>Inshore rescue service grant</t>
  </si>
  <si>
    <t>Central support services</t>
  </si>
  <si>
    <t>Rates on land used for moorings</t>
  </si>
  <si>
    <t>Office expenses</t>
  </si>
  <si>
    <t>Other services</t>
  </si>
  <si>
    <t>2003</t>
  </si>
  <si>
    <t>Calculation of Mooring and Harbour Expenditure Budget 2004</t>
  </si>
  <si>
    <t>Appendix B2</t>
  </si>
  <si>
    <t>Supplies and Services:</t>
  </si>
  <si>
    <t>Staffing</t>
  </si>
  <si>
    <t>Hydrographic programme</t>
  </si>
  <si>
    <t>Harbour Infrastructure</t>
  </si>
  <si>
    <t>Navigation marks</t>
  </si>
  <si>
    <t>Minor Works</t>
  </si>
  <si>
    <t>Equipment</t>
  </si>
  <si>
    <t>Riverbed Lease</t>
  </si>
  <si>
    <t>Gross Cost of River Operations</t>
  </si>
  <si>
    <t>Net Cost of River Operations</t>
  </si>
  <si>
    <r>
      <t>Less:</t>
    </r>
    <r>
      <rPr>
        <sz val="11"/>
        <rFont val="Times New Roman"/>
        <family val="1"/>
      </rPr>
      <t xml:space="preserve"> Income from visitors</t>
    </r>
  </si>
  <si>
    <t>Sub-let Scheme</t>
  </si>
  <si>
    <t>Add:</t>
  </si>
  <si>
    <r>
      <t>Add:</t>
    </r>
    <r>
      <rPr>
        <sz val="11"/>
        <rFont val="Times New Roman"/>
        <family val="1"/>
      </rPr>
      <t xml:space="preserve"> Required Increase in Reserves</t>
    </r>
  </si>
  <si>
    <t>2003 Opening Balance</t>
  </si>
  <si>
    <t>Forecast 2003 Deficit</t>
  </si>
  <si>
    <t>Projected 2003 Closing Balance</t>
  </si>
  <si>
    <t>Required Minimum</t>
  </si>
  <si>
    <t>Required Immediate Augmentation</t>
  </si>
  <si>
    <t>Required from user charges before capital equalisation charge</t>
  </si>
  <si>
    <t>Appendix B3</t>
  </si>
  <si>
    <t>Projected Major Works/Capital Costs 2004-2008</t>
  </si>
  <si>
    <t>2005</t>
  </si>
  <si>
    <t>2006</t>
  </si>
  <si>
    <t>2007</t>
  </si>
  <si>
    <t>2008</t>
  </si>
  <si>
    <t>Harbour Activities</t>
  </si>
  <si>
    <t>Poseidon Channel</t>
  </si>
  <si>
    <t>Other Areas</t>
  </si>
  <si>
    <t>Patrol Craft</t>
  </si>
  <si>
    <t>Total</t>
  </si>
  <si>
    <t>Required Funding per annum over 5 years</t>
  </si>
  <si>
    <t>Moorings Maintenance:</t>
  </si>
  <si>
    <t>Dredging:</t>
  </si>
  <si>
    <t>Poor Piles 250 piles @ £50 each</t>
  </si>
  <si>
    <t>Poor Piles Replacement 500 @ £500 each</t>
  </si>
  <si>
    <t>Hazardous Piles 100 @ £500 each</t>
  </si>
  <si>
    <t>Required Revenue from User Charges</t>
  </si>
  <si>
    <t>Inflation</t>
  </si>
  <si>
    <t>Major Works/Capital Equalised Annual Funding</t>
  </si>
  <si>
    <t>Income required from user charges</t>
  </si>
  <si>
    <t>Calculation of Voids on Moorings</t>
  </si>
  <si>
    <t>Total number of moorings :</t>
  </si>
  <si>
    <t>Annual number of surrenders</t>
  </si>
  <si>
    <t>Average length of time to reassign : 42 days</t>
  </si>
  <si>
    <t xml:space="preserve">Average void time in annual equivalent moorings  </t>
  </si>
  <si>
    <t>60 X 42/365</t>
  </si>
  <si>
    <t xml:space="preserve">   =</t>
  </si>
  <si>
    <t>Average mooring length is 12.5 metres</t>
  </si>
  <si>
    <t>Therefore average equivalent voids</t>
  </si>
  <si>
    <t>moorings</t>
  </si>
  <si>
    <t>metres</t>
  </si>
  <si>
    <t>Calculation of Chargeable Length</t>
  </si>
  <si>
    <r>
      <t>Less:</t>
    </r>
    <r>
      <rPr>
        <sz val="11"/>
        <rFont val="Times New Roman"/>
        <family val="1"/>
      </rPr>
      <t xml:space="preserve"> Void Moorings</t>
    </r>
  </si>
  <si>
    <t>Metres</t>
  </si>
  <si>
    <t>Chargeable Length</t>
  </si>
  <si>
    <t>Calculation of User Charges</t>
  </si>
  <si>
    <t>Charge per Chargeable Metre 2004</t>
  </si>
  <si>
    <t>Charges 2003</t>
  </si>
  <si>
    <t>Increase</t>
  </si>
  <si>
    <t>Increase Percentage</t>
  </si>
  <si>
    <t>Appendix B4</t>
  </si>
  <si>
    <t>Moorings Comparative Charges (based on 12.5 metre craft)</t>
  </si>
  <si>
    <t>Mooring</t>
  </si>
  <si>
    <t>Charge</t>
  </si>
  <si>
    <t>Harbour</t>
  </si>
  <si>
    <t>Port Shanty</t>
  </si>
  <si>
    <t>Tidemouth</t>
  </si>
  <si>
    <t>Walk Ashore</t>
  </si>
  <si>
    <t>Mid-stream</t>
  </si>
  <si>
    <t>Swellingbourne</t>
  </si>
  <si>
    <t>Mid-stream piles</t>
  </si>
  <si>
    <t>Nautingham</t>
  </si>
  <si>
    <t>Over 10 metres</t>
  </si>
  <si>
    <t>Port Shanty Private Marina - Sandcastle</t>
  </si>
  <si>
    <t>N/A</t>
  </si>
  <si>
    <t>Port Shanty Private Marina - Frigate Creek</t>
  </si>
  <si>
    <t>Port Shanty Private Marina - Mudflats Marina</t>
  </si>
  <si>
    <t>Total Cost</t>
  </si>
  <si>
    <t>Wavesend</t>
  </si>
  <si>
    <t>Docksford</t>
  </si>
  <si>
    <t>Conclusion</t>
  </si>
  <si>
    <t>The analysis indicates that the river users have probably been undercharged for some years. This is due</t>
  </si>
  <si>
    <t>The deteriorating physical condition of the river infrastructure makes the establishment of the realistic</t>
  </si>
  <si>
    <t>but still highly competitive 2004 charges at Port Shanty a necessity to fund rectification work that the</t>
  </si>
  <si>
    <t>Mooring Holders Association itself recognises to be required.</t>
  </si>
  <si>
    <t>Payroll Cost</t>
  </si>
  <si>
    <t>Appendix B5</t>
  </si>
  <si>
    <t>Analysis of increase in charges</t>
  </si>
  <si>
    <t>Allowance for voids</t>
  </si>
  <si>
    <t>2003 charge on revised length</t>
  </si>
  <si>
    <t>%</t>
  </si>
  <si>
    <t>Base charge 2003</t>
  </si>
  <si>
    <t>Add back planned draw on reserves 2003</t>
  </si>
  <si>
    <t>Increase in Sceptre lease</t>
  </si>
  <si>
    <t xml:space="preserve">Other </t>
  </si>
  <si>
    <t>Allowance for voids on Council moorings</t>
  </si>
  <si>
    <t>Adjustment for extra 500m</t>
  </si>
  <si>
    <r>
      <t>Add</t>
    </r>
    <r>
      <rPr>
        <sz val="11"/>
        <rFont val="Times New Roman"/>
        <family val="1"/>
      </rPr>
      <t xml:space="preserve"> increase in net cost of operations</t>
    </r>
  </si>
  <si>
    <r>
      <t>Less</t>
    </r>
    <r>
      <rPr>
        <sz val="11"/>
        <rFont val="Times New Roman"/>
        <family val="1"/>
      </rPr>
      <t xml:space="preserve"> additional moorings at Frigate Creek</t>
    </r>
  </si>
  <si>
    <r>
      <t>Add</t>
    </r>
    <r>
      <rPr>
        <sz val="11"/>
        <rFont val="Times New Roman"/>
        <family val="1"/>
      </rPr>
      <t xml:space="preserve"> capital equalisation charge</t>
    </r>
  </si>
  <si>
    <r>
      <t>Add</t>
    </r>
    <r>
      <rPr>
        <sz val="11"/>
        <rFont val="Times New Roman"/>
        <family val="1"/>
      </rPr>
      <t xml:space="preserve"> immediate increase in reserves</t>
    </r>
  </si>
  <si>
    <t>2. Moorings rentals</t>
  </si>
  <si>
    <t>1. Harbour dues</t>
  </si>
  <si>
    <t>Change</t>
  </si>
  <si>
    <t>Harbour Master</t>
  </si>
  <si>
    <t>H.M. Shippe</t>
  </si>
  <si>
    <t>Q. Knarrd</t>
  </si>
  <si>
    <t>Jack Tarr</t>
  </si>
  <si>
    <t>Chris Columbus</t>
  </si>
  <si>
    <t>Fletcher Christian</t>
  </si>
  <si>
    <t>Davy Jones</t>
  </si>
  <si>
    <t>Mac Gellan</t>
  </si>
  <si>
    <t>Page</t>
  </si>
  <si>
    <t>13,27</t>
  </si>
  <si>
    <t>App B1</t>
  </si>
  <si>
    <t>25</t>
  </si>
  <si>
    <t>2</t>
  </si>
  <si>
    <t>(iii),(iv),16</t>
  </si>
  <si>
    <t>4,21</t>
  </si>
  <si>
    <t>(ii),4,16,21</t>
  </si>
  <si>
    <t>4</t>
  </si>
  <si>
    <t>21</t>
  </si>
  <si>
    <t>Original Gross Chargeable Length</t>
  </si>
  <si>
    <r>
      <t>Add:</t>
    </r>
    <r>
      <rPr>
        <sz val="11"/>
        <rFont val="Times New Roman"/>
        <family val="1"/>
      </rPr>
      <t xml:space="preserve"> Additional Moorings at Frigate Creek</t>
    </r>
  </si>
  <si>
    <t>Recoverable</t>
  </si>
  <si>
    <t>Amount</t>
  </si>
  <si>
    <t>per Metre</t>
  </si>
  <si>
    <t xml:space="preserve">Revised length 32,913.7 +500 = </t>
  </si>
  <si>
    <r>
      <t>Note</t>
    </r>
    <r>
      <rPr>
        <i/>
        <sz val="11"/>
        <rFont val="Times New Roman"/>
        <family val="1"/>
      </rPr>
      <t>: No voids on private moorings</t>
    </r>
  </si>
  <si>
    <t xml:space="preserve">£230,700 / 32,913.7 = </t>
  </si>
  <si>
    <t>Rentals</t>
  </si>
  <si>
    <t>The proposed 2004 charges have been compared with the 2003 charges for an available sample of similar</t>
  </si>
  <si>
    <t>all other havens with the possible exception of Tidemouth, after taking account of the 2004 increases at</t>
  </si>
  <si>
    <t xml:space="preserve">yachting havens. This exercise confirms that the 2004 charges at Port Shanty compare favourably with </t>
  </si>
  <si>
    <t>Harbour Dues Comparatives Only (based on 11.25 metre craft)</t>
  </si>
  <si>
    <t>Port Shanty. The 2004 charges at other havens will probably be higher than the 2003 rates shown above.</t>
  </si>
  <si>
    <t>6.904 x 12.5 metres</t>
  </si>
  <si>
    <t>24</t>
  </si>
  <si>
    <t>24,25</t>
  </si>
  <si>
    <t>App B2</t>
  </si>
  <si>
    <t>(iii)</t>
  </si>
  <si>
    <t>(iii),9</t>
  </si>
  <si>
    <t>9</t>
  </si>
  <si>
    <t>3</t>
  </si>
  <si>
    <t>2,9</t>
  </si>
  <si>
    <t>2,4,9</t>
  </si>
  <si>
    <t xml:space="preserve">£351,900 / 14,913.7 = </t>
  </si>
  <si>
    <t>App B3</t>
  </si>
  <si>
    <t>£247,319-£230,700</t>
  </si>
  <si>
    <t>3,App B3</t>
  </si>
  <si>
    <t>(iv)</t>
  </si>
  <si>
    <t>(iii),App B3</t>
  </si>
  <si>
    <t>30</t>
  </si>
  <si>
    <t>18,30</t>
  </si>
  <si>
    <t>3,30</t>
  </si>
  <si>
    <t>Billy Bligh</t>
  </si>
  <si>
    <t>to pressure from the river users' representatives on the JMC whose priority has been to keep charges</t>
  </si>
  <si>
    <t>Name</t>
  </si>
  <si>
    <t>Undertaking</t>
  </si>
  <si>
    <t>Note: not much data due to illness, but the job is entirely moorings anyway.</t>
  </si>
  <si>
    <t>Deputy Harbour Master</t>
  </si>
  <si>
    <t>Assistant Harbour Master</t>
  </si>
  <si>
    <t>Acting up as Berthing Master</t>
  </si>
  <si>
    <t>Assistant Harbour Master P/T</t>
  </si>
  <si>
    <t>Lee Shore</t>
  </si>
  <si>
    <t>Casual Clerical Assistant</t>
  </si>
  <si>
    <t>Summer seasonal staff</t>
  </si>
  <si>
    <t>These worked entirely on the sub-let scheme</t>
  </si>
  <si>
    <t>Post</t>
  </si>
  <si>
    <t xml:space="preserve">Revised length 15,000 - 86.3 = </t>
  </si>
  <si>
    <t>2003 charge reworked on new length:</t>
  </si>
  <si>
    <t>Totals</t>
  </si>
  <si>
    <t xml:space="preserve">Revised length 33,000 - 86.3 = </t>
  </si>
  <si>
    <t>£(430,383 - £20,600) - £372,600, analysed as:</t>
  </si>
  <si>
    <t>Port Shanty JMC moorings</t>
  </si>
  <si>
    <t>in favour of higher spending to fund proper maintenance are given due weight relative to user groups'</t>
  </si>
  <si>
    <t>wishes to keep charges low.</t>
  </si>
  <si>
    <t xml:space="preserve">down. It is important that the County Councillor members of the JMC and representatives of all the other </t>
  </si>
  <si>
    <t>stakeholder groups attend the 2004 budget-setting meeting. The full JMC needs to ensure that arguments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</si>
</sst>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.0;\(#,##0.0\)"/>
    <numFmt numFmtId="174" formatCode="#,##0;\(#,##0\)"/>
    <numFmt numFmtId="175" formatCode="0.0%"/>
    <numFmt numFmtId="176" formatCode="#,##0.000;\(#,##0.000\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12">
    <font>
      <sz val="11"/>
      <name val="Times New Roman"/>
      <family val="1"/>
    </font>
    <font>
      <sz val="10"/>
      <name val="Arial"/>
      <family val="0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174" fontId="0" fillId="0" borderId="0" xfId="0" applyAlignment="1">
      <alignment/>
    </xf>
    <xf numFmtId="174" fontId="2" fillId="0" borderId="0" xfId="0" applyFont="1" applyAlignment="1">
      <alignment/>
    </xf>
    <xf numFmtId="174" fontId="0" fillId="0" borderId="0" xfId="0" applyAlignment="1" quotePrefix="1">
      <alignment/>
    </xf>
    <xf numFmtId="174" fontId="3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0" xfId="0" applyAlignment="1">
      <alignment horizontal="center"/>
    </xf>
    <xf numFmtId="9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74" fontId="4" fillId="0" borderId="0" xfId="0" applyFont="1" applyAlignment="1">
      <alignment/>
    </xf>
    <xf numFmtId="174" fontId="0" fillId="0" borderId="0" xfId="0" applyAlignment="1" quotePrefix="1">
      <alignment horizontal="center"/>
    </xf>
    <xf numFmtId="10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2" xfId="0" applyBorder="1" applyAlignment="1">
      <alignment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5" fillId="0" borderId="0" xfId="0" applyFont="1" applyAlignment="1">
      <alignment/>
    </xf>
    <xf numFmtId="174" fontId="6" fillId="0" borderId="0" xfId="0" applyFont="1" applyAlignment="1">
      <alignment/>
    </xf>
    <xf numFmtId="174" fontId="0" fillId="0" borderId="1" xfId="0" applyBorder="1" applyAlignment="1">
      <alignment/>
    </xf>
    <xf numFmtId="174" fontId="7" fillId="0" borderId="0" xfId="0" applyFont="1" applyAlignment="1">
      <alignment/>
    </xf>
    <xf numFmtId="174" fontId="3" fillId="0" borderId="0" xfId="0" applyFont="1" applyAlignment="1">
      <alignment horizontal="center"/>
    </xf>
    <xf numFmtId="174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4" fontId="0" fillId="0" borderId="0" xfId="0" applyFont="1" applyAlignment="1">
      <alignment/>
    </xf>
    <xf numFmtId="9" fontId="0" fillId="0" borderId="4" xfId="0" applyNumberFormat="1" applyBorder="1" applyAlignment="1">
      <alignment/>
    </xf>
    <xf numFmtId="174" fontId="0" fillId="0" borderId="4" xfId="0" applyBorder="1" applyAlignment="1">
      <alignment/>
    </xf>
    <xf numFmtId="174" fontId="0" fillId="0" borderId="0" xfId="0" applyBorder="1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10" fontId="0" fillId="0" borderId="0" xfId="0" applyNumberFormat="1" applyAlignment="1" quotePrefix="1">
      <alignment/>
    </xf>
    <xf numFmtId="171" fontId="0" fillId="0" borderId="0" xfId="0" applyNumberFormat="1" applyAlignment="1" quotePrefix="1">
      <alignment/>
    </xf>
    <xf numFmtId="171" fontId="0" fillId="0" borderId="1" xfId="0" applyNumberFormat="1" applyBorder="1" applyAlignment="1">
      <alignment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5" fontId="0" fillId="0" borderId="0" xfId="0" applyNumberFormat="1" applyAlignment="1" quotePrefix="1">
      <alignment/>
    </xf>
    <xf numFmtId="174" fontId="8" fillId="0" borderId="0" xfId="0" applyFon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4" fontId="9" fillId="0" borderId="0" xfId="0" applyFont="1" applyAlignment="1">
      <alignment/>
    </xf>
    <xf numFmtId="174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174" fontId="10" fillId="0" borderId="0" xfId="0" applyFont="1" applyAlignment="1">
      <alignment/>
    </xf>
    <xf numFmtId="174" fontId="11" fillId="0" borderId="0" xfId="0" applyFont="1" applyAlignment="1">
      <alignment/>
    </xf>
    <xf numFmtId="174" fontId="9" fillId="0" borderId="0" xfId="0" applyFont="1" applyAlignment="1">
      <alignment horizontal="center"/>
    </xf>
    <xf numFmtId="9" fontId="0" fillId="0" borderId="0" xfId="19" applyAlignment="1">
      <alignment horizontal="center"/>
    </xf>
    <xf numFmtId="174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workbookViewId="0" topLeftCell="A4">
      <selection activeCell="A4" sqref="A4"/>
    </sheetView>
  </sheetViews>
  <sheetFormatPr defaultColWidth="9.140625" defaultRowHeight="15"/>
  <cols>
    <col min="1" max="1" width="17.140625" style="0" customWidth="1"/>
    <col min="2" max="2" width="13.28125" style="0" customWidth="1"/>
    <col min="3" max="3" width="2.8515625" style="0" customWidth="1"/>
    <col min="4" max="4" width="8.00390625" style="0" customWidth="1"/>
    <col min="5" max="5" width="3.140625" style="0" customWidth="1"/>
    <col min="6" max="16384" width="8.00390625" style="0" customWidth="1"/>
  </cols>
  <sheetData>
    <row r="1" spans="1:10" ht="15">
      <c r="A1" s="1" t="s">
        <v>0</v>
      </c>
      <c r="J1" s="15" t="s">
        <v>147</v>
      </c>
    </row>
    <row r="2" ht="15">
      <c r="A2" s="1"/>
    </row>
    <row r="3" spans="1:4" ht="15">
      <c r="A3" s="3" t="s">
        <v>1</v>
      </c>
      <c r="D3" s="9" t="s">
        <v>2</v>
      </c>
    </row>
    <row r="4" spans="4:9" ht="15">
      <c r="D4" s="5" t="s">
        <v>120</v>
      </c>
      <c r="F4" s="47" t="s">
        <v>12</v>
      </c>
      <c r="G4" s="47"/>
      <c r="H4" s="47" t="s">
        <v>3</v>
      </c>
      <c r="I4" s="47"/>
    </row>
    <row r="5" spans="4:9" ht="15">
      <c r="D5" s="5" t="s">
        <v>14</v>
      </c>
      <c r="G5" s="5" t="s">
        <v>14</v>
      </c>
      <c r="I5" s="5" t="s">
        <v>14</v>
      </c>
    </row>
    <row r="6" spans="1:10" ht="15">
      <c r="A6" t="s">
        <v>139</v>
      </c>
      <c r="B6" t="s">
        <v>140</v>
      </c>
      <c r="D6" s="4">
        <v>38000</v>
      </c>
      <c r="F6" s="6">
        <v>0.9</v>
      </c>
      <c r="G6" s="4">
        <f>+F6*D6</f>
        <v>34200</v>
      </c>
      <c r="H6" s="6">
        <v>0.1</v>
      </c>
      <c r="I6" s="4">
        <f>+H6*D6</f>
        <v>3800</v>
      </c>
      <c r="J6" s="2" t="s">
        <v>148</v>
      </c>
    </row>
    <row r="7" spans="4:9" ht="15">
      <c r="D7" s="4"/>
      <c r="F7" s="6"/>
      <c r="G7" s="4"/>
      <c r="H7" s="6"/>
      <c r="I7" s="4"/>
    </row>
    <row r="8" spans="1:10" ht="15">
      <c r="A8" t="s">
        <v>4</v>
      </c>
      <c r="B8" t="s">
        <v>141</v>
      </c>
      <c r="D8" s="4">
        <v>28200</v>
      </c>
      <c r="F8" s="6">
        <v>0.6</v>
      </c>
      <c r="G8" s="4">
        <f>+F8*D8</f>
        <v>16920</v>
      </c>
      <c r="H8" s="6">
        <v>0.4</v>
      </c>
      <c r="I8" s="4">
        <f>+H8*D8</f>
        <v>11280</v>
      </c>
      <c r="J8" s="2" t="s">
        <v>148</v>
      </c>
    </row>
    <row r="9" spans="4:9" ht="15">
      <c r="D9" s="4"/>
      <c r="F9" s="6"/>
      <c r="G9" s="4"/>
      <c r="H9" s="6"/>
      <c r="I9" s="4"/>
    </row>
    <row r="10" spans="1:10" ht="15">
      <c r="A10" t="s">
        <v>5</v>
      </c>
      <c r="B10" t="s">
        <v>142</v>
      </c>
      <c r="D10" s="4">
        <v>26000</v>
      </c>
      <c r="F10" s="6">
        <v>0</v>
      </c>
      <c r="G10" s="4">
        <f>+F10*D10</f>
        <v>0</v>
      </c>
      <c r="H10" s="6">
        <v>1</v>
      </c>
      <c r="I10" s="4">
        <f>+H10*D10</f>
        <v>26000</v>
      </c>
      <c r="J10" s="2" t="s">
        <v>148</v>
      </c>
    </row>
    <row r="11" spans="1:9" ht="15">
      <c r="A11" s="8" t="s">
        <v>13</v>
      </c>
      <c r="D11" s="4"/>
      <c r="F11" s="6"/>
      <c r="G11" s="4"/>
      <c r="H11" s="6"/>
      <c r="I11" s="4"/>
    </row>
    <row r="12" spans="1:10" ht="15">
      <c r="A12" t="s">
        <v>6</v>
      </c>
      <c r="B12" t="s">
        <v>143</v>
      </c>
      <c r="D12" s="4">
        <v>19700</v>
      </c>
      <c r="F12" s="6">
        <v>0.7</v>
      </c>
      <c r="G12" s="4">
        <f>+F12*D12</f>
        <v>13790</v>
      </c>
      <c r="H12" s="6">
        <v>0.3</v>
      </c>
      <c r="I12" s="4">
        <f>+H12*D12</f>
        <v>5910</v>
      </c>
      <c r="J12" s="2" t="s">
        <v>148</v>
      </c>
    </row>
    <row r="13" spans="4:9" ht="15">
      <c r="D13" s="4"/>
      <c r="F13" s="6"/>
      <c r="G13" s="4"/>
      <c r="H13" s="6"/>
      <c r="I13" s="4"/>
    </row>
    <row r="14" spans="1:10" ht="15">
      <c r="A14" t="s">
        <v>7</v>
      </c>
      <c r="B14" t="s">
        <v>190</v>
      </c>
      <c r="D14" s="4">
        <v>18900</v>
      </c>
      <c r="F14" s="6">
        <v>0.7</v>
      </c>
      <c r="G14" s="4">
        <f>+F14*D14</f>
        <v>13230</v>
      </c>
      <c r="H14" s="6">
        <v>0.3</v>
      </c>
      <c r="I14" s="4">
        <f>+H14*D14</f>
        <v>5670</v>
      </c>
      <c r="J14" s="2" t="s">
        <v>148</v>
      </c>
    </row>
    <row r="15" spans="1:10" ht="15">
      <c r="A15" t="s">
        <v>8</v>
      </c>
      <c r="B15" t="s">
        <v>144</v>
      </c>
      <c r="D15" s="4">
        <v>18900</v>
      </c>
      <c r="F15" s="6">
        <v>0.7</v>
      </c>
      <c r="G15" s="4">
        <f>+F15*D15</f>
        <v>13230</v>
      </c>
      <c r="H15" s="6">
        <v>0.3</v>
      </c>
      <c r="I15" s="4">
        <f>+H15*D15</f>
        <v>5670</v>
      </c>
      <c r="J15" s="2" t="s">
        <v>148</v>
      </c>
    </row>
    <row r="16" spans="1:10" ht="15">
      <c r="A16" t="s">
        <v>9</v>
      </c>
      <c r="B16" t="s">
        <v>145</v>
      </c>
      <c r="D16" s="4">
        <v>18900</v>
      </c>
      <c r="F16" s="6">
        <v>0.7</v>
      </c>
      <c r="G16" s="4">
        <f>+F16*D16</f>
        <v>13230</v>
      </c>
      <c r="H16" s="6">
        <v>0.3</v>
      </c>
      <c r="I16" s="4">
        <f>+H16*D16</f>
        <v>5670</v>
      </c>
      <c r="J16" s="2" t="s">
        <v>148</v>
      </c>
    </row>
    <row r="17" spans="1:10" ht="15">
      <c r="A17" t="s">
        <v>10</v>
      </c>
      <c r="B17" t="s">
        <v>146</v>
      </c>
      <c r="D17" s="4">
        <v>8000</v>
      </c>
      <c r="F17" s="6">
        <v>0.5</v>
      </c>
      <c r="G17" s="4">
        <f>+F17*D17</f>
        <v>4000</v>
      </c>
      <c r="H17" s="6">
        <v>0.5</v>
      </c>
      <c r="I17" s="4">
        <f>+H17*D17</f>
        <v>4000</v>
      </c>
      <c r="J17" s="2" t="s">
        <v>148</v>
      </c>
    </row>
    <row r="18" spans="4:9" ht="15">
      <c r="D18" s="4"/>
      <c r="F18" s="6"/>
      <c r="G18" s="4"/>
      <c r="H18" s="6"/>
      <c r="I18" s="4"/>
    </row>
    <row r="19" spans="4:9" ht="15">
      <c r="D19" s="4"/>
      <c r="F19" s="6"/>
      <c r="G19" s="4"/>
      <c r="H19" s="6"/>
      <c r="I19" s="4"/>
    </row>
    <row r="20" spans="1:10" ht="15">
      <c r="A20" t="s">
        <v>11</v>
      </c>
      <c r="D20" s="4">
        <v>10000</v>
      </c>
      <c r="F20" s="6">
        <v>0</v>
      </c>
      <c r="G20" s="4">
        <f>+F20*D20</f>
        <v>0</v>
      </c>
      <c r="H20" s="6">
        <v>1</v>
      </c>
      <c r="I20" s="4">
        <f>+H20*D20</f>
        <v>10000</v>
      </c>
      <c r="J20" s="2" t="s">
        <v>151</v>
      </c>
    </row>
    <row r="21" spans="4:9" ht="15">
      <c r="D21" s="4"/>
      <c r="G21" s="4"/>
      <c r="I21" s="4"/>
    </row>
    <row r="22" spans="4:9" ht="15.75" thickBot="1">
      <c r="D22" s="7">
        <f>SUM(D6:D20)</f>
        <v>186600</v>
      </c>
      <c r="G22" s="7">
        <f>SUM(G6:G20)</f>
        <v>108600</v>
      </c>
      <c r="I22" s="7">
        <f>SUM(I6:I20)</f>
        <v>78000</v>
      </c>
    </row>
    <row r="23" ht="15.75" thickTop="1">
      <c r="A23" s="2"/>
    </row>
    <row r="24" spans="7:9" ht="15">
      <c r="G24" s="11">
        <f>+G22/D22</f>
        <v>0.5819935691318328</v>
      </c>
      <c r="H24" s="10"/>
      <c r="I24" s="11">
        <f>+I22/D22</f>
        <v>0.4180064308681672</v>
      </c>
    </row>
    <row r="27" ht="15">
      <c r="A27" s="2"/>
    </row>
    <row r="32" ht="15">
      <c r="A32" s="2"/>
    </row>
    <row r="36" ht="15">
      <c r="A36" s="2"/>
    </row>
    <row r="40" ht="15">
      <c r="A40" s="2"/>
    </row>
    <row r="46" ht="15">
      <c r="A46" s="2"/>
    </row>
    <row r="51" ht="15">
      <c r="A51" s="2"/>
    </row>
    <row r="57" ht="15">
      <c r="A57" s="2"/>
    </row>
  </sheetData>
  <mergeCells count="2"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workbookViewId="0" topLeftCell="A26">
      <selection activeCell="M37" sqref="M37"/>
    </sheetView>
  </sheetViews>
  <sheetFormatPr defaultColWidth="9.140625" defaultRowHeight="15"/>
  <cols>
    <col min="1" max="1" width="2.421875" style="0" customWidth="1"/>
    <col min="2" max="2" width="19.421875" style="0" customWidth="1"/>
    <col min="3" max="3" width="8.00390625" style="0" customWidth="1"/>
    <col min="4" max="4" width="8.421875" style="0" customWidth="1"/>
    <col min="5" max="5" width="7.28125" style="0" customWidth="1"/>
    <col min="6" max="6" width="9.57421875" style="0" customWidth="1"/>
    <col min="7" max="7" width="2.7109375" style="0" customWidth="1"/>
    <col min="8" max="11" width="8.00390625" style="0" customWidth="1"/>
    <col min="12" max="12" width="9.00390625" style="0" customWidth="1"/>
    <col min="13" max="16384" width="8.00390625" style="0" customWidth="1"/>
  </cols>
  <sheetData>
    <row r="1" spans="1:12" ht="15">
      <c r="A1" s="1" t="s">
        <v>33</v>
      </c>
      <c r="L1" s="15" t="s">
        <v>147</v>
      </c>
    </row>
    <row r="3" ht="15">
      <c r="A3" s="16" t="s">
        <v>32</v>
      </c>
    </row>
    <row r="4" spans="4:11" ht="15">
      <c r="D4" s="5" t="s">
        <v>15</v>
      </c>
      <c r="F4" s="5" t="s">
        <v>15</v>
      </c>
      <c r="H4" s="47" t="s">
        <v>16</v>
      </c>
      <c r="I4" s="47"/>
      <c r="J4" s="47"/>
      <c r="K4" s="47"/>
    </row>
    <row r="5" spans="4:11" ht="15">
      <c r="D5" s="5" t="s">
        <v>17</v>
      </c>
      <c r="E5" s="46">
        <v>0.02</v>
      </c>
      <c r="F5" s="5" t="s">
        <v>17</v>
      </c>
      <c r="I5" t="s">
        <v>18</v>
      </c>
      <c r="K5" t="s">
        <v>3</v>
      </c>
    </row>
    <row r="6" spans="4:9" ht="15">
      <c r="D6" s="9" t="s">
        <v>31</v>
      </c>
      <c r="E6" t="s">
        <v>72</v>
      </c>
      <c r="F6" s="9" t="s">
        <v>2</v>
      </c>
      <c r="I6" t="s">
        <v>19</v>
      </c>
    </row>
    <row r="7" spans="4:11" ht="15">
      <c r="D7" s="19" t="s">
        <v>14</v>
      </c>
      <c r="E7" s="19" t="s">
        <v>14</v>
      </c>
      <c r="F7" s="19" t="s">
        <v>14</v>
      </c>
      <c r="G7" s="3"/>
      <c r="H7" s="3"/>
      <c r="I7" s="19" t="s">
        <v>14</v>
      </c>
      <c r="J7" s="3"/>
      <c r="K7" s="19" t="s">
        <v>14</v>
      </c>
    </row>
    <row r="8" spans="1:12" ht="15">
      <c r="A8" t="s">
        <v>35</v>
      </c>
      <c r="F8" s="4">
        <f>+'App B1'!D22</f>
        <v>186600</v>
      </c>
      <c r="H8" s="11">
        <f>+'App B1'!G24</f>
        <v>0.5819935691318328</v>
      </c>
      <c r="I8" s="4">
        <f>+'App B1'!G22</f>
        <v>108600</v>
      </c>
      <c r="J8" s="11">
        <f>+'App B1'!I24</f>
        <v>0.4180064308681672</v>
      </c>
      <c r="K8" s="4">
        <f>+'App B1'!I22</f>
        <v>78000</v>
      </c>
      <c r="L8" s="2" t="s">
        <v>149</v>
      </c>
    </row>
    <row r="9" spans="8:10" ht="15">
      <c r="H9" s="11"/>
      <c r="J9" s="11"/>
    </row>
    <row r="10" spans="1:12" ht="15">
      <c r="A10" t="s">
        <v>20</v>
      </c>
      <c r="D10" s="4">
        <v>9300</v>
      </c>
      <c r="E10" s="4">
        <f>+D10*0.02</f>
        <v>186</v>
      </c>
      <c r="F10" s="4">
        <f>SUM(D10:E10)</f>
        <v>9486</v>
      </c>
      <c r="H10" s="11">
        <v>0.6</v>
      </c>
      <c r="I10" s="4">
        <f>+H10*F10</f>
        <v>5691.599999999999</v>
      </c>
      <c r="J10" s="11">
        <v>0.4</v>
      </c>
      <c r="K10" s="4">
        <f>+J10*F10</f>
        <v>3794.4</v>
      </c>
      <c r="L10" s="2" t="s">
        <v>154</v>
      </c>
    </row>
    <row r="11" spans="1:12" ht="15">
      <c r="A11" t="s">
        <v>21</v>
      </c>
      <c r="D11" s="4">
        <v>11200</v>
      </c>
      <c r="E11" s="4">
        <f>+D11*0.02</f>
        <v>224</v>
      </c>
      <c r="F11" s="4">
        <f>SUM(D11:E11)</f>
        <v>11424</v>
      </c>
      <c r="H11" s="11">
        <v>0.76</v>
      </c>
      <c r="I11" s="4">
        <f>+H11*F11</f>
        <v>8682.24</v>
      </c>
      <c r="J11" s="11">
        <v>0.24</v>
      </c>
      <c r="K11" s="4">
        <f>+J11*F11</f>
        <v>2741.7599999999998</v>
      </c>
      <c r="L11" s="2" t="s">
        <v>154</v>
      </c>
    </row>
    <row r="12" spans="4:11" ht="15">
      <c r="D12" s="4"/>
      <c r="E12" s="4"/>
      <c r="F12" s="4"/>
      <c r="H12" s="11"/>
      <c r="I12" s="4"/>
      <c r="J12" s="11"/>
      <c r="K12" s="4"/>
    </row>
    <row r="13" spans="1:11" ht="15">
      <c r="A13" t="s">
        <v>34</v>
      </c>
      <c r="D13" s="4"/>
      <c r="E13" s="4"/>
      <c r="F13" s="4"/>
      <c r="H13" s="11"/>
      <c r="I13" s="4"/>
      <c r="J13" s="11"/>
      <c r="K13" s="4"/>
    </row>
    <row r="14" spans="2:12" ht="15">
      <c r="B14" t="s">
        <v>22</v>
      </c>
      <c r="D14" s="4">
        <v>4400</v>
      </c>
      <c r="E14" s="4">
        <f aca="true" t="shared" si="0" ref="E14:E22">+D14*0.02</f>
        <v>88</v>
      </c>
      <c r="F14" s="4">
        <f aca="true" t="shared" si="1" ref="F14:F22">SUM(D14:E14)</f>
        <v>4488</v>
      </c>
      <c r="H14" s="11">
        <v>1</v>
      </c>
      <c r="I14" s="4">
        <f aca="true" t="shared" si="2" ref="I14:I22">+H14*F14</f>
        <v>4488</v>
      </c>
      <c r="J14" s="11"/>
      <c r="K14" s="4">
        <f aca="true" t="shared" si="3" ref="K14:K22">+J14*F14</f>
        <v>0</v>
      </c>
      <c r="L14" s="2" t="s">
        <v>154</v>
      </c>
    </row>
    <row r="15" spans="2:12" ht="15">
      <c r="B15" t="s">
        <v>23</v>
      </c>
      <c r="D15" s="4">
        <v>2600</v>
      </c>
      <c r="E15" s="4">
        <f t="shared" si="0"/>
        <v>52</v>
      </c>
      <c r="F15" s="4">
        <f t="shared" si="1"/>
        <v>2652</v>
      </c>
      <c r="H15" s="11"/>
      <c r="I15" s="4">
        <f t="shared" si="2"/>
        <v>0</v>
      </c>
      <c r="J15" s="11">
        <v>1</v>
      </c>
      <c r="K15" s="4">
        <f t="shared" si="3"/>
        <v>2652</v>
      </c>
      <c r="L15" s="2" t="s">
        <v>154</v>
      </c>
    </row>
    <row r="16" spans="2:12" ht="15">
      <c r="B16" t="s">
        <v>24</v>
      </c>
      <c r="D16" s="4">
        <v>3200</v>
      </c>
      <c r="E16" s="4">
        <f t="shared" si="0"/>
        <v>64</v>
      </c>
      <c r="F16" s="4">
        <f t="shared" si="1"/>
        <v>3264</v>
      </c>
      <c r="H16" s="11">
        <v>1</v>
      </c>
      <c r="I16" s="4">
        <f t="shared" si="2"/>
        <v>3264</v>
      </c>
      <c r="J16" s="11"/>
      <c r="K16" s="4">
        <f t="shared" si="3"/>
        <v>0</v>
      </c>
      <c r="L16" s="2" t="s">
        <v>154</v>
      </c>
    </row>
    <row r="17" spans="2:12" ht="15">
      <c r="B17" t="s">
        <v>25</v>
      </c>
      <c r="D17" s="4">
        <v>28000</v>
      </c>
      <c r="E17" s="4">
        <f t="shared" si="0"/>
        <v>560</v>
      </c>
      <c r="F17" s="4">
        <f t="shared" si="1"/>
        <v>28560</v>
      </c>
      <c r="H17" s="11">
        <v>1</v>
      </c>
      <c r="I17" s="4">
        <f t="shared" si="2"/>
        <v>28560</v>
      </c>
      <c r="J17" s="11"/>
      <c r="K17" s="4">
        <f t="shared" si="3"/>
        <v>0</v>
      </c>
      <c r="L17" s="2" t="s">
        <v>154</v>
      </c>
    </row>
    <row r="18" spans="2:12" ht="15">
      <c r="B18" t="s">
        <v>26</v>
      </c>
      <c r="D18" s="4">
        <v>8500</v>
      </c>
      <c r="E18" s="4">
        <f t="shared" si="0"/>
        <v>170</v>
      </c>
      <c r="F18" s="4">
        <f t="shared" si="1"/>
        <v>8670</v>
      </c>
      <c r="H18" s="11">
        <v>1</v>
      </c>
      <c r="I18" s="4">
        <f t="shared" si="2"/>
        <v>8670</v>
      </c>
      <c r="J18" s="11"/>
      <c r="K18" s="4">
        <f t="shared" si="3"/>
        <v>0</v>
      </c>
      <c r="L18" s="2" t="s">
        <v>154</v>
      </c>
    </row>
    <row r="19" spans="2:12" ht="15">
      <c r="B19" t="s">
        <v>27</v>
      </c>
      <c r="D19" s="4">
        <v>24600</v>
      </c>
      <c r="E19" s="4">
        <f t="shared" si="0"/>
        <v>492</v>
      </c>
      <c r="F19" s="4">
        <f t="shared" si="1"/>
        <v>25092</v>
      </c>
      <c r="H19" s="11">
        <v>0.75</v>
      </c>
      <c r="I19" s="4">
        <f t="shared" si="2"/>
        <v>18819</v>
      </c>
      <c r="J19" s="11">
        <v>0.25</v>
      </c>
      <c r="K19" s="4">
        <f t="shared" si="3"/>
        <v>6273</v>
      </c>
      <c r="L19" s="2" t="s">
        <v>154</v>
      </c>
    </row>
    <row r="20" spans="2:12" ht="15">
      <c r="B20" t="s">
        <v>28</v>
      </c>
      <c r="D20" s="4">
        <v>8800</v>
      </c>
      <c r="E20" s="4">
        <f t="shared" si="0"/>
        <v>176</v>
      </c>
      <c r="F20" s="4">
        <f t="shared" si="1"/>
        <v>8976</v>
      </c>
      <c r="H20" s="11"/>
      <c r="I20" s="4">
        <f t="shared" si="2"/>
        <v>0</v>
      </c>
      <c r="J20" s="11">
        <v>1</v>
      </c>
      <c r="K20" s="4">
        <f t="shared" si="3"/>
        <v>8976</v>
      </c>
      <c r="L20" s="2" t="s">
        <v>154</v>
      </c>
    </row>
    <row r="21" spans="2:12" ht="15">
      <c r="B21" t="s">
        <v>29</v>
      </c>
      <c r="D21" s="4">
        <v>17600</v>
      </c>
      <c r="E21" s="4">
        <f t="shared" si="0"/>
        <v>352</v>
      </c>
      <c r="F21" s="4">
        <f t="shared" si="1"/>
        <v>17952</v>
      </c>
      <c r="H21" s="11">
        <f>+H8</f>
        <v>0.5819935691318328</v>
      </c>
      <c r="I21" s="4">
        <f t="shared" si="2"/>
        <v>10447.94855305466</v>
      </c>
      <c r="J21" s="11">
        <f>+J8</f>
        <v>0.4180064308681672</v>
      </c>
      <c r="K21" s="4">
        <f t="shared" si="3"/>
        <v>7504.051446945337</v>
      </c>
      <c r="L21" s="2" t="s">
        <v>154</v>
      </c>
    </row>
    <row r="22" spans="2:12" ht="15">
      <c r="B22" t="s">
        <v>30</v>
      </c>
      <c r="D22" s="4">
        <v>6900</v>
      </c>
      <c r="E22" s="4">
        <f t="shared" si="0"/>
        <v>138</v>
      </c>
      <c r="F22" s="4">
        <f t="shared" si="1"/>
        <v>7038</v>
      </c>
      <c r="H22" s="11">
        <f>+H8</f>
        <v>0.5819935691318328</v>
      </c>
      <c r="I22" s="4">
        <f t="shared" si="2"/>
        <v>4096.070739549839</v>
      </c>
      <c r="J22" s="11">
        <f>+J8</f>
        <v>0.4180064308681672</v>
      </c>
      <c r="K22" s="4">
        <f t="shared" si="3"/>
        <v>2941.9292604501607</v>
      </c>
      <c r="L22" s="2" t="s">
        <v>154</v>
      </c>
    </row>
    <row r="24" spans="1:12" ht="15">
      <c r="A24" t="s">
        <v>36</v>
      </c>
      <c r="F24" s="4">
        <v>9000</v>
      </c>
      <c r="I24" s="4">
        <v>9000</v>
      </c>
      <c r="L24" s="2" t="s">
        <v>150</v>
      </c>
    </row>
    <row r="25" spans="1:12" ht="15">
      <c r="A25" t="s">
        <v>37</v>
      </c>
      <c r="F25" s="4">
        <v>10000</v>
      </c>
      <c r="I25" s="4">
        <v>10000</v>
      </c>
      <c r="L25" s="2" t="s">
        <v>150</v>
      </c>
    </row>
    <row r="26" spans="1:12" ht="15">
      <c r="A26" t="s">
        <v>38</v>
      </c>
      <c r="F26" s="4">
        <v>22000</v>
      </c>
      <c r="I26" s="4">
        <v>22000</v>
      </c>
      <c r="L26" s="2" t="s">
        <v>150</v>
      </c>
    </row>
    <row r="27" spans="1:12" ht="15">
      <c r="A27" t="s">
        <v>39</v>
      </c>
      <c r="F27">
        <v>10000</v>
      </c>
      <c r="I27" s="4">
        <v>5000</v>
      </c>
      <c r="K27" s="4">
        <v>5000</v>
      </c>
      <c r="L27" s="2" t="s">
        <v>150</v>
      </c>
    </row>
    <row r="28" spans="1:12" ht="15">
      <c r="A28" t="s">
        <v>40</v>
      </c>
      <c r="F28">
        <v>21000</v>
      </c>
      <c r="I28">
        <v>0</v>
      </c>
      <c r="K28" s="4">
        <v>21000</v>
      </c>
      <c r="L28" s="2" t="s">
        <v>150</v>
      </c>
    </row>
    <row r="29" spans="1:12" ht="15">
      <c r="A29" t="s">
        <v>41</v>
      </c>
      <c r="F29" s="12">
        <v>300000</v>
      </c>
      <c r="I29" s="12">
        <v>0</v>
      </c>
      <c r="K29" s="13">
        <v>300000</v>
      </c>
      <c r="L29" s="2" t="s">
        <v>152</v>
      </c>
    </row>
    <row r="30" spans="1:11" ht="15">
      <c r="A30" t="s">
        <v>42</v>
      </c>
      <c r="F30" s="4">
        <f>SUM(F8:F29)</f>
        <v>686202</v>
      </c>
      <c r="I30" s="4">
        <f>SUM(I8:I29)</f>
        <v>247318.85929260452</v>
      </c>
      <c r="K30" s="4">
        <f>SUM(K8:K29)</f>
        <v>438883.1407073955</v>
      </c>
    </row>
    <row r="32" spans="1:12" ht="15">
      <c r="A32" s="3" t="s">
        <v>44</v>
      </c>
      <c r="F32" s="4">
        <v>-15100</v>
      </c>
      <c r="I32">
        <v>0</v>
      </c>
      <c r="K32" s="4">
        <v>-15100</v>
      </c>
      <c r="L32" s="2" t="s">
        <v>153</v>
      </c>
    </row>
    <row r="33" spans="1:12" ht="15">
      <c r="A33" t="s">
        <v>45</v>
      </c>
      <c r="F33" s="4">
        <v>-14000</v>
      </c>
      <c r="I33">
        <v>0</v>
      </c>
      <c r="K33" s="4">
        <v>-14000</v>
      </c>
      <c r="L33" s="2" t="s">
        <v>151</v>
      </c>
    </row>
    <row r="34" spans="1:11" ht="15">
      <c r="A34" t="s">
        <v>43</v>
      </c>
      <c r="F34" s="14">
        <f>SUM(F30:F33)</f>
        <v>657102</v>
      </c>
      <c r="I34" s="14">
        <f>SUM(I30:I33)</f>
        <v>247318.85929260452</v>
      </c>
      <c r="K34" s="14">
        <f>SUM(K30:K33)</f>
        <v>409783.1407073955</v>
      </c>
    </row>
    <row r="36" ht="15">
      <c r="A36" s="3" t="s">
        <v>47</v>
      </c>
    </row>
    <row r="37" spans="2:12" ht="15">
      <c r="B37" s="2" t="s">
        <v>48</v>
      </c>
      <c r="H37" s="4">
        <v>77100</v>
      </c>
      <c r="J37" s="4">
        <v>104800</v>
      </c>
      <c r="L37" s="2" t="s">
        <v>155</v>
      </c>
    </row>
    <row r="38" spans="2:12" ht="15">
      <c r="B38" t="s">
        <v>49</v>
      </c>
      <c r="H38" s="13">
        <v>-5000</v>
      </c>
      <c r="J38" s="13">
        <v>-29400</v>
      </c>
      <c r="L38" s="2" t="s">
        <v>156</v>
      </c>
    </row>
    <row r="39" spans="2:10" ht="15">
      <c r="B39" t="s">
        <v>50</v>
      </c>
      <c r="H39" s="4">
        <f>SUM(H37:H38)</f>
        <v>72100</v>
      </c>
      <c r="J39" s="4">
        <f>SUM(J37:J38)</f>
        <v>75400</v>
      </c>
    </row>
    <row r="40" spans="2:12" ht="15">
      <c r="B40" t="s">
        <v>51</v>
      </c>
      <c r="H40" s="13">
        <v>60000</v>
      </c>
      <c r="J40" s="13">
        <v>96000</v>
      </c>
      <c r="L40" s="2" t="s">
        <v>150</v>
      </c>
    </row>
    <row r="41" spans="2:11" ht="15">
      <c r="B41" t="s">
        <v>52</v>
      </c>
      <c r="I41" s="4">
        <v>0</v>
      </c>
      <c r="K41" s="4">
        <f>+J40-J39</f>
        <v>20600</v>
      </c>
    </row>
    <row r="43" spans="2:11" ht="15.75" thickBot="1">
      <c r="B43" t="s">
        <v>53</v>
      </c>
      <c r="I43" s="7">
        <f>+I41+I34</f>
        <v>247318.85929260452</v>
      </c>
      <c r="K43" s="7">
        <f>+K41+K34</f>
        <v>430383.1407073955</v>
      </c>
    </row>
    <row r="44" ht="15.75" thickTop="1"/>
  </sheetData>
  <mergeCells count="1">
    <mergeCell ref="H4:K4"/>
  </mergeCells>
  <printOptions/>
  <pageMargins left="0.75" right="0.75" top="1" bottom="1" header="0.5" footer="0.5"/>
  <pageSetup fitToHeight="1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workbookViewId="0" topLeftCell="A49">
      <selection activeCell="A1" sqref="A1:L65"/>
    </sheetView>
  </sheetViews>
  <sheetFormatPr defaultColWidth="9.140625" defaultRowHeight="15"/>
  <cols>
    <col min="1" max="1" width="4.57421875" style="0" customWidth="1"/>
    <col min="2" max="9" width="8.00390625" style="0" customWidth="1"/>
    <col min="11" max="11" width="8.00390625" style="0" customWidth="1"/>
    <col min="13" max="16384" width="8.00390625" style="0" customWidth="1"/>
  </cols>
  <sheetData>
    <row r="1" spans="1:12" ht="15">
      <c r="A1" s="1" t="s">
        <v>54</v>
      </c>
      <c r="L1" s="15" t="s">
        <v>147</v>
      </c>
    </row>
    <row r="3" ht="15">
      <c r="A3" s="16" t="s">
        <v>55</v>
      </c>
    </row>
    <row r="4" spans="6:11" ht="15">
      <c r="F4" s="9" t="s">
        <v>2</v>
      </c>
      <c r="G4" s="9" t="s">
        <v>56</v>
      </c>
      <c r="H4" s="9" t="s">
        <v>57</v>
      </c>
      <c r="I4" s="9" t="s">
        <v>58</v>
      </c>
      <c r="J4" s="9" t="s">
        <v>59</v>
      </c>
      <c r="K4" t="s">
        <v>64</v>
      </c>
    </row>
    <row r="5" spans="6:11" ht="15">
      <c r="F5" s="5" t="s">
        <v>14</v>
      </c>
      <c r="G5" s="5" t="s">
        <v>14</v>
      </c>
      <c r="H5" s="5" t="s">
        <v>14</v>
      </c>
      <c r="I5" s="5" t="s">
        <v>14</v>
      </c>
      <c r="J5" s="5" t="s">
        <v>14</v>
      </c>
      <c r="K5" s="5" t="s">
        <v>14</v>
      </c>
    </row>
    <row r="6" ht="15">
      <c r="A6" s="16" t="s">
        <v>60</v>
      </c>
    </row>
    <row r="8" ht="15">
      <c r="A8" t="s">
        <v>67</v>
      </c>
    </row>
    <row r="9" spans="2:12" ht="15">
      <c r="B9" t="s">
        <v>61</v>
      </c>
      <c r="G9">
        <v>25000</v>
      </c>
      <c r="K9">
        <f>SUM(F9:J9)</f>
        <v>25000</v>
      </c>
      <c r="L9" s="2" t="s">
        <v>172</v>
      </c>
    </row>
    <row r="10" spans="2:12" ht="15">
      <c r="B10" t="s">
        <v>62</v>
      </c>
      <c r="I10">
        <v>60000</v>
      </c>
      <c r="K10">
        <f>SUM(F10:J10)</f>
        <v>60000</v>
      </c>
      <c r="L10" s="2" t="s">
        <v>172</v>
      </c>
    </row>
    <row r="11" spans="1:12" ht="15">
      <c r="A11" t="s">
        <v>63</v>
      </c>
      <c r="G11">
        <v>16000</v>
      </c>
      <c r="K11">
        <f>SUM(F11:J11)</f>
        <v>16000</v>
      </c>
      <c r="L11" s="2" t="s">
        <v>150</v>
      </c>
    </row>
    <row r="12" spans="6:11" ht="15.75" thickBot="1">
      <c r="F12" s="17">
        <f aca="true" t="shared" si="0" ref="F12:K12">SUM(F9:F11)</f>
        <v>0</v>
      </c>
      <c r="G12" s="17">
        <f t="shared" si="0"/>
        <v>41000</v>
      </c>
      <c r="H12" s="17">
        <f t="shared" si="0"/>
        <v>0</v>
      </c>
      <c r="I12" s="17">
        <f t="shared" si="0"/>
        <v>60000</v>
      </c>
      <c r="J12" s="17">
        <f t="shared" si="0"/>
        <v>0</v>
      </c>
      <c r="K12" s="17">
        <f t="shared" si="0"/>
        <v>101000</v>
      </c>
    </row>
    <row r="13" ht="15.75" thickTop="1"/>
    <row r="14" spans="1:12" ht="15">
      <c r="A14" t="s">
        <v>65</v>
      </c>
      <c r="K14">
        <f>+K12/5</f>
        <v>20200</v>
      </c>
      <c r="L14" s="2" t="s">
        <v>156</v>
      </c>
    </row>
    <row r="16" ht="15">
      <c r="A16" s="16" t="s">
        <v>3</v>
      </c>
    </row>
    <row r="18" ht="15">
      <c r="A18" t="s">
        <v>66</v>
      </c>
    </row>
    <row r="19" spans="2:12" ht="15">
      <c r="B19" t="s">
        <v>68</v>
      </c>
      <c r="G19">
        <f>250*50</f>
        <v>12500</v>
      </c>
      <c r="H19">
        <f>250*50</f>
        <v>12500</v>
      </c>
      <c r="K19">
        <f>SUM(F19:J19)</f>
        <v>25000</v>
      </c>
      <c r="L19" s="2" t="s">
        <v>173</v>
      </c>
    </row>
    <row r="20" spans="2:12" ht="15">
      <c r="B20" t="s">
        <v>69</v>
      </c>
      <c r="J20">
        <f>500*500</f>
        <v>250000</v>
      </c>
      <c r="K20">
        <f>SUM(F20:J20)</f>
        <v>250000</v>
      </c>
      <c r="L20" s="2" t="s">
        <v>173</v>
      </c>
    </row>
    <row r="21" spans="2:12" ht="15">
      <c r="B21" t="s">
        <v>70</v>
      </c>
      <c r="G21">
        <f>500*100</f>
        <v>50000</v>
      </c>
      <c r="K21">
        <f>SUM(F21:J21)</f>
        <v>50000</v>
      </c>
      <c r="L21" s="2" t="s">
        <v>173</v>
      </c>
    </row>
    <row r="22" spans="6:11" ht="15.75" thickBot="1">
      <c r="F22" s="17">
        <f aca="true" t="shared" si="1" ref="F22:K22">SUM(F19:F21)</f>
        <v>0</v>
      </c>
      <c r="G22" s="17">
        <f t="shared" si="1"/>
        <v>62500</v>
      </c>
      <c r="H22" s="17">
        <f t="shared" si="1"/>
        <v>12500</v>
      </c>
      <c r="I22" s="17">
        <f t="shared" si="1"/>
        <v>0</v>
      </c>
      <c r="J22" s="17">
        <f t="shared" si="1"/>
        <v>250000</v>
      </c>
      <c r="K22" s="17">
        <f t="shared" si="1"/>
        <v>325000</v>
      </c>
    </row>
    <row r="23" ht="15.75" thickTop="1"/>
    <row r="24" spans="1:11" ht="15">
      <c r="A24" t="s">
        <v>65</v>
      </c>
      <c r="K24">
        <f>+K22/5</f>
        <v>65000</v>
      </c>
    </row>
    <row r="26" ht="15">
      <c r="A26" s="1" t="s">
        <v>71</v>
      </c>
    </row>
    <row r="27" spans="8:10" ht="15">
      <c r="H27" t="s">
        <v>18</v>
      </c>
      <c r="J27" t="s">
        <v>3</v>
      </c>
    </row>
    <row r="28" ht="15">
      <c r="H28" t="s">
        <v>19</v>
      </c>
    </row>
    <row r="29" spans="8:10" ht="15">
      <c r="H29" s="19" t="s">
        <v>14</v>
      </c>
      <c r="I29" s="3"/>
      <c r="J29" s="19" t="s">
        <v>14</v>
      </c>
    </row>
    <row r="30" spans="1:12" ht="15">
      <c r="A30" t="s">
        <v>53</v>
      </c>
      <c r="H30">
        <f>+'App B2'!I43</f>
        <v>247318.85929260452</v>
      </c>
      <c r="J30">
        <f>+'App B2'!K43</f>
        <v>430383.1407073955</v>
      </c>
      <c r="L30" t="s">
        <v>174</v>
      </c>
    </row>
    <row r="31" spans="1:10" ht="15">
      <c r="A31" s="3" t="s">
        <v>46</v>
      </c>
      <c r="B31" t="s">
        <v>73</v>
      </c>
      <c r="H31">
        <f>+K14</f>
        <v>20200</v>
      </c>
      <c r="J31">
        <f>+K24</f>
        <v>65000</v>
      </c>
    </row>
    <row r="32" spans="1:10" ht="15.75" thickBot="1">
      <c r="A32" s="15" t="s">
        <v>74</v>
      </c>
      <c r="H32" s="17">
        <f>SUM(H30:H31)</f>
        <v>267518.8592926045</v>
      </c>
      <c r="J32" s="17">
        <f>SUM(J30:J31)</f>
        <v>495383.1407073955</v>
      </c>
    </row>
    <row r="33" ht="15.75" thickTop="1"/>
    <row r="34" ht="15">
      <c r="A34" s="1" t="s">
        <v>75</v>
      </c>
    </row>
    <row r="35" spans="1:12" ht="15">
      <c r="A35" t="s">
        <v>76</v>
      </c>
      <c r="E35">
        <v>1200</v>
      </c>
      <c r="L35" s="2" t="s">
        <v>175</v>
      </c>
    </row>
    <row r="36" spans="1:12" ht="15">
      <c r="A36" t="s">
        <v>77</v>
      </c>
      <c r="E36">
        <v>60</v>
      </c>
      <c r="L36" s="2" t="s">
        <v>176</v>
      </c>
    </row>
    <row r="38" spans="1:12" ht="15">
      <c r="A38" t="s">
        <v>78</v>
      </c>
      <c r="L38" s="2" t="s">
        <v>177</v>
      </c>
    </row>
    <row r="40" ht="15">
      <c r="A40" t="s">
        <v>79</v>
      </c>
    </row>
    <row r="41" spans="3:7" ht="15">
      <c r="C41" t="s">
        <v>80</v>
      </c>
      <c r="E41" s="20" t="s">
        <v>81</v>
      </c>
      <c r="F41" s="33">
        <f>60*0.115068493150685</f>
        <v>6.904109589041096</v>
      </c>
      <c r="G41" t="s">
        <v>84</v>
      </c>
    </row>
    <row r="43" spans="1:12" ht="15">
      <c r="A43" t="s">
        <v>82</v>
      </c>
      <c r="L43" s="2" t="s">
        <v>175</v>
      </c>
    </row>
    <row r="45" ht="15">
      <c r="A45" t="s">
        <v>83</v>
      </c>
    </row>
    <row r="46" spans="2:7" ht="15">
      <c r="B46" t="s">
        <v>171</v>
      </c>
      <c r="E46" s="20" t="s">
        <v>81</v>
      </c>
      <c r="F46" s="34">
        <f>+F41*12.5</f>
        <v>86.3013698630137</v>
      </c>
      <c r="G46" t="s">
        <v>85</v>
      </c>
    </row>
    <row r="48" spans="1:9" ht="15">
      <c r="A48" s="1" t="s">
        <v>86</v>
      </c>
      <c r="H48" s="5" t="s">
        <v>18</v>
      </c>
      <c r="I48" s="5"/>
    </row>
    <row r="49" spans="8:10" ht="15">
      <c r="H49" s="5" t="s">
        <v>19</v>
      </c>
      <c r="I49" s="5"/>
      <c r="J49" s="5" t="s">
        <v>3</v>
      </c>
    </row>
    <row r="50" spans="8:10" ht="15">
      <c r="H50" s="19" t="s">
        <v>88</v>
      </c>
      <c r="I50" s="3"/>
      <c r="J50" s="19" t="s">
        <v>88</v>
      </c>
    </row>
    <row r="51" spans="1:12" ht="15">
      <c r="A51" t="s">
        <v>157</v>
      </c>
      <c r="H51" s="34">
        <v>33000</v>
      </c>
      <c r="I51" s="34"/>
      <c r="J51" s="34">
        <v>15000</v>
      </c>
      <c r="L51" s="2" t="s">
        <v>175</v>
      </c>
    </row>
    <row r="52" spans="1:12" ht="15">
      <c r="A52" s="3" t="s">
        <v>158</v>
      </c>
      <c r="H52" s="34">
        <v>500</v>
      </c>
      <c r="I52" s="34"/>
      <c r="J52" s="34">
        <v>0</v>
      </c>
      <c r="L52" s="2" t="s">
        <v>178</v>
      </c>
    </row>
    <row r="53" spans="1:10" ht="15">
      <c r="A53" s="3" t="s">
        <v>87</v>
      </c>
      <c r="H53" s="34">
        <f>-F46</f>
        <v>-86.3013698630137</v>
      </c>
      <c r="I53" s="34"/>
      <c r="J53" s="34">
        <f>-F46</f>
        <v>-86.3013698630137</v>
      </c>
    </row>
    <row r="54" spans="1:10" ht="15.75" thickBot="1">
      <c r="A54" t="s">
        <v>89</v>
      </c>
      <c r="H54" s="35">
        <f>SUM(H51:H53)</f>
        <v>33413.69863013698</v>
      </c>
      <c r="I54" s="34"/>
      <c r="J54" s="35">
        <f>SUM(J51:J53)</f>
        <v>14913.698630136987</v>
      </c>
    </row>
    <row r="55" spans="8:10" ht="15.75" thickTop="1">
      <c r="H55" s="34"/>
      <c r="I55" s="34"/>
      <c r="J55" s="34"/>
    </row>
    <row r="56" ht="15">
      <c r="A56" s="1" t="s">
        <v>90</v>
      </c>
    </row>
    <row r="57" spans="8:10" ht="15">
      <c r="H57" s="5" t="s">
        <v>14</v>
      </c>
      <c r="J57" s="5" t="s">
        <v>14</v>
      </c>
    </row>
    <row r="58" spans="1:10" ht="15.75" thickBot="1">
      <c r="A58" s="23" t="s">
        <v>74</v>
      </c>
      <c r="H58" s="25">
        <f>+H32</f>
        <v>267518.8592926045</v>
      </c>
      <c r="J58" s="25">
        <f>+J32</f>
        <v>495383.1407073955</v>
      </c>
    </row>
    <row r="59" spans="1:10" ht="15.75" thickTop="1">
      <c r="A59" s="23"/>
      <c r="H59" s="26"/>
      <c r="J59" s="26"/>
    </row>
    <row r="60" spans="8:10" ht="15">
      <c r="H60" s="5" t="s">
        <v>14</v>
      </c>
      <c r="J60" s="5" t="s">
        <v>14</v>
      </c>
    </row>
    <row r="61" spans="1:10" ht="15">
      <c r="A61" s="15" t="s">
        <v>91</v>
      </c>
      <c r="H61" s="21">
        <f>+H58/H54</f>
        <v>8.0062630076911</v>
      </c>
      <c r="J61" s="21">
        <f>+J58/J54</f>
        <v>33.216652219748205</v>
      </c>
    </row>
    <row r="62" spans="1:12" ht="15">
      <c r="A62" t="s">
        <v>92</v>
      </c>
      <c r="H62" s="21">
        <v>6.99</v>
      </c>
      <c r="J62" s="21">
        <v>23.46</v>
      </c>
      <c r="L62" s="2" t="s">
        <v>179</v>
      </c>
    </row>
    <row r="63" spans="1:10" ht="15.75" thickBot="1">
      <c r="A63" t="s">
        <v>93</v>
      </c>
      <c r="H63" s="22">
        <f>+H61-H62</f>
        <v>1.0162630076910997</v>
      </c>
      <c r="J63" s="22">
        <f>+J61-J62</f>
        <v>9.756652219748204</v>
      </c>
    </row>
    <row r="64" ht="15.75" thickTop="1"/>
    <row r="65" spans="1:10" ht="15.75" thickBot="1">
      <c r="A65" t="s">
        <v>94</v>
      </c>
      <c r="H65" s="24">
        <f>+H63/H62</f>
        <v>0.14538812699443485</v>
      </c>
      <c r="J65" s="24">
        <f>+J63/J62</f>
        <v>0.415884578846897</v>
      </c>
    </row>
    <row r="66" ht="15.75" thickTop="1"/>
  </sheetData>
  <printOptions/>
  <pageMargins left="0.75" right="0.75" top="1" bottom="1" header="0.5" footer="0.5"/>
  <pageSetup fitToHeight="1" fitToWidth="1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1"/>
  <sheetViews>
    <sheetView showGridLines="0" workbookViewId="0" topLeftCell="A15">
      <selection activeCell="B26" sqref="B26"/>
    </sheetView>
  </sheetViews>
  <sheetFormatPr defaultColWidth="9.140625" defaultRowHeight="15"/>
  <cols>
    <col min="1" max="1" width="4.57421875" style="0" customWidth="1"/>
    <col min="2" max="2" width="18.140625" style="0" customWidth="1"/>
    <col min="3" max="3" width="14.140625" style="0" customWidth="1"/>
    <col min="4" max="4" width="10.421875" style="0" bestFit="1" customWidth="1"/>
    <col min="5" max="5" width="6.00390625" style="0" customWidth="1"/>
    <col min="6" max="6" width="9.7109375" style="0" bestFit="1" customWidth="1"/>
    <col min="7" max="7" width="5.00390625" style="0" customWidth="1"/>
  </cols>
  <sheetData>
    <row r="1" spans="1:10" ht="15">
      <c r="A1" s="1" t="s">
        <v>95</v>
      </c>
      <c r="J1" s="15" t="s">
        <v>147</v>
      </c>
    </row>
    <row r="2" ht="15">
      <c r="A2" s="16" t="s">
        <v>122</v>
      </c>
    </row>
    <row r="3" spans="1:9" ht="15">
      <c r="A3" s="16" t="s">
        <v>137</v>
      </c>
      <c r="H3" s="28"/>
      <c r="I3" s="10"/>
    </row>
    <row r="4" spans="2:9" ht="15">
      <c r="B4" s="16"/>
      <c r="D4" t="s">
        <v>159</v>
      </c>
      <c r="F4" s="5" t="s">
        <v>98</v>
      </c>
      <c r="H4" s="28"/>
      <c r="I4" s="10"/>
    </row>
    <row r="5" spans="4:9" ht="15">
      <c r="D5" s="32" t="s">
        <v>160</v>
      </c>
      <c r="E5" s="27"/>
      <c r="F5" s="5" t="s">
        <v>161</v>
      </c>
      <c r="H5" s="48" t="s">
        <v>138</v>
      </c>
      <c r="I5" s="48"/>
    </row>
    <row r="6" spans="4:9" ht="15">
      <c r="D6" s="5" t="s">
        <v>14</v>
      </c>
      <c r="F6" s="5" t="s">
        <v>14</v>
      </c>
      <c r="H6" s="5" t="s">
        <v>14</v>
      </c>
      <c r="I6" s="5" t="s">
        <v>125</v>
      </c>
    </row>
    <row r="7" spans="1:10" ht="15">
      <c r="A7" t="s">
        <v>126</v>
      </c>
      <c r="D7">
        <v>230700</v>
      </c>
      <c r="F7" s="28">
        <v>6.99</v>
      </c>
      <c r="H7" s="28"/>
      <c r="I7" s="10"/>
      <c r="J7" s="2" t="s">
        <v>180</v>
      </c>
    </row>
    <row r="8" spans="6:9" ht="15">
      <c r="F8" s="28"/>
      <c r="H8" s="28"/>
      <c r="I8" s="10"/>
    </row>
    <row r="9" spans="1:9" ht="15">
      <c r="A9" t="s">
        <v>130</v>
      </c>
      <c r="F9" s="28"/>
      <c r="H9" s="28"/>
      <c r="I9" s="10"/>
    </row>
    <row r="10" spans="2:10" ht="15">
      <c r="B10" t="s">
        <v>207</v>
      </c>
      <c r="F10" s="28"/>
      <c r="H10" s="28"/>
      <c r="I10" s="10"/>
      <c r="J10" t="s">
        <v>182</v>
      </c>
    </row>
    <row r="11" spans="2:9" ht="15">
      <c r="B11" s="38">
        <v>32913.7</v>
      </c>
      <c r="D11" s="28"/>
      <c r="F11" s="28"/>
      <c r="H11" s="28"/>
      <c r="I11" s="10"/>
    </row>
    <row r="12" spans="2:9" ht="15">
      <c r="B12" s="2" t="s">
        <v>124</v>
      </c>
      <c r="F12" s="28"/>
      <c r="H12" s="28"/>
      <c r="I12" s="10"/>
    </row>
    <row r="13" spans="2:9" ht="15">
      <c r="B13" s="2" t="s">
        <v>164</v>
      </c>
      <c r="F13" s="28">
        <f>+D7/B11</f>
        <v>7.009239313720427</v>
      </c>
      <c r="H13" s="30">
        <f>+F13-F7</f>
        <v>0.019239313720427198</v>
      </c>
      <c r="I13" s="36">
        <f>+H13/F7</f>
        <v>0.002752405396341516</v>
      </c>
    </row>
    <row r="14" spans="8:9" ht="15">
      <c r="H14" s="28"/>
      <c r="I14" s="10"/>
    </row>
    <row r="15" spans="1:9" ht="15">
      <c r="A15" s="3" t="s">
        <v>133</v>
      </c>
      <c r="H15" s="28"/>
      <c r="I15" s="10"/>
    </row>
    <row r="16" spans="2:10" ht="15">
      <c r="B16" t="s">
        <v>162</v>
      </c>
      <c r="F16" s="28"/>
      <c r="H16" s="28"/>
      <c r="I16" s="10"/>
      <c r="J16" t="s">
        <v>184</v>
      </c>
    </row>
    <row r="17" spans="2:9" ht="15">
      <c r="B17" s="28">
        <v>33413.7</v>
      </c>
      <c r="D17" s="28"/>
      <c r="F17" s="28"/>
      <c r="H17" s="28"/>
      <c r="I17" s="10"/>
    </row>
    <row r="18" spans="2:9" ht="15">
      <c r="B18" t="s">
        <v>131</v>
      </c>
      <c r="F18" s="28"/>
      <c r="H18" s="28"/>
      <c r="I18" s="10"/>
    </row>
    <row r="19" spans="2:9" ht="15">
      <c r="B19" s="37" t="s">
        <v>163</v>
      </c>
      <c r="F19" s="28"/>
      <c r="H19" s="30"/>
      <c r="I19" s="29"/>
    </row>
    <row r="20" spans="2:9" ht="15">
      <c r="B20" s="2" t="s">
        <v>205</v>
      </c>
      <c r="F20" s="28">
        <f>+D7/B17</f>
        <v>6.904353603462053</v>
      </c>
      <c r="H20" s="28">
        <v>-0.11</v>
      </c>
      <c r="I20" s="36">
        <f>+H20/F7</f>
        <v>-0.015736766809728183</v>
      </c>
    </row>
    <row r="21" spans="6:9" ht="15">
      <c r="F21" s="28"/>
      <c r="H21" s="28"/>
      <c r="I21" s="10"/>
    </row>
    <row r="22" spans="1:9" ht="15">
      <c r="A22" s="3" t="s">
        <v>132</v>
      </c>
      <c r="F22" s="28"/>
      <c r="I22" s="10"/>
    </row>
    <row r="23" spans="2:10" ht="15">
      <c r="B23" s="2" t="s">
        <v>183</v>
      </c>
      <c r="D23">
        <f>+'App B3'!H30-'App B4'!D7</f>
        <v>16618.859292604524</v>
      </c>
      <c r="F23" s="28">
        <f>+D23/B17</f>
        <v>0.49736662783841734</v>
      </c>
      <c r="H23" s="28">
        <f>+F23</f>
        <v>0.49736662783841734</v>
      </c>
      <c r="I23" s="11">
        <f>+H23/F20</f>
        <v>0.0720366679350001</v>
      </c>
      <c r="J23" t="s">
        <v>174</v>
      </c>
    </row>
    <row r="24" spans="6:9" ht="15">
      <c r="F24" s="39"/>
      <c r="H24" s="28"/>
      <c r="I24" s="10"/>
    </row>
    <row r="25" spans="1:10" ht="15">
      <c r="A25" s="3" t="s">
        <v>134</v>
      </c>
      <c r="D25">
        <v>20200</v>
      </c>
      <c r="F25" s="28">
        <v>0.61</v>
      </c>
      <c r="H25" s="28">
        <f>+F25</f>
        <v>0.61</v>
      </c>
      <c r="I25" s="11">
        <f>+H25/F20</f>
        <v>0.08835005201560468</v>
      </c>
      <c r="J25" t="s">
        <v>182</v>
      </c>
    </row>
    <row r="26" spans="6:9" ht="15">
      <c r="F26" s="39"/>
      <c r="H26" s="28"/>
      <c r="I26" s="11"/>
    </row>
    <row r="27" spans="2:9" ht="15.75" thickBot="1">
      <c r="B27" t="s">
        <v>206</v>
      </c>
      <c r="D27" s="17">
        <f>SUM(D7:D25)</f>
        <v>267518.8592926045</v>
      </c>
      <c r="F27" s="31">
        <f>+SUM(F20:F25)</f>
        <v>8.01172023130047</v>
      </c>
      <c r="H27" s="31">
        <f>+SUM(H13:H25)</f>
        <v>1.0166059415588444</v>
      </c>
      <c r="I27" s="11">
        <f>+SUM(I13:I25)</f>
        <v>0.14740235853721811</v>
      </c>
    </row>
    <row r="28" spans="6:9" ht="15.75" thickTop="1">
      <c r="F28" s="28"/>
      <c r="H28" s="28"/>
      <c r="I28" s="10"/>
    </row>
    <row r="29" spans="1:6" ht="15">
      <c r="A29" s="16" t="s">
        <v>136</v>
      </c>
      <c r="B29" s="16"/>
      <c r="D29" t="s">
        <v>159</v>
      </c>
      <c r="F29" s="5" t="s">
        <v>98</v>
      </c>
    </row>
    <row r="30" spans="4:9" ht="15">
      <c r="D30" s="32" t="s">
        <v>160</v>
      </c>
      <c r="E30" s="27"/>
      <c r="F30" s="5" t="s">
        <v>161</v>
      </c>
      <c r="H30" s="48" t="s">
        <v>138</v>
      </c>
      <c r="I30" s="48"/>
    </row>
    <row r="31" spans="4:9" ht="15">
      <c r="D31" s="5" t="s">
        <v>14</v>
      </c>
      <c r="F31" s="5" t="s">
        <v>14</v>
      </c>
      <c r="G31" s="5"/>
      <c r="H31" s="5" t="s">
        <v>14</v>
      </c>
      <c r="I31" s="5" t="s">
        <v>125</v>
      </c>
    </row>
    <row r="32" spans="1:10" ht="15">
      <c r="A32" t="s">
        <v>126</v>
      </c>
      <c r="D32">
        <v>351900</v>
      </c>
      <c r="F32" s="28">
        <f>+D32/15000</f>
        <v>23.46</v>
      </c>
      <c r="H32" s="28"/>
      <c r="I32" s="10"/>
      <c r="J32" s="2" t="s">
        <v>180</v>
      </c>
    </row>
    <row r="33" spans="6:9" ht="15">
      <c r="F33" s="28"/>
      <c r="H33" s="28"/>
      <c r="I33" s="10"/>
    </row>
    <row r="34" spans="1:9" ht="15">
      <c r="A34" t="s">
        <v>123</v>
      </c>
      <c r="F34" s="28"/>
      <c r="H34" s="28"/>
      <c r="I34" s="10"/>
    </row>
    <row r="35" spans="2:10" ht="15">
      <c r="B35" t="s">
        <v>204</v>
      </c>
      <c r="F35" s="28"/>
      <c r="H35" s="28"/>
      <c r="I35" s="10"/>
      <c r="J35" s="2" t="s">
        <v>182</v>
      </c>
    </row>
    <row r="36" spans="2:9" ht="15">
      <c r="B36" s="38">
        <v>14913.7</v>
      </c>
      <c r="D36" s="28"/>
      <c r="F36" s="28"/>
      <c r="H36" s="28"/>
      <c r="I36" s="10"/>
    </row>
    <row r="37" spans="2:9" ht="15">
      <c r="B37" s="2" t="s">
        <v>124</v>
      </c>
      <c r="F37" s="28"/>
      <c r="H37" s="28"/>
      <c r="I37" s="10"/>
    </row>
    <row r="38" spans="2:9" ht="15">
      <c r="B38" s="2" t="s">
        <v>181</v>
      </c>
      <c r="F38" s="28">
        <f>+D32/B36</f>
        <v>23.595754239390626</v>
      </c>
      <c r="H38" s="30">
        <f>+F38-F32</f>
        <v>0.13575423939062503</v>
      </c>
      <c r="I38" s="36">
        <f>+H38/F32</f>
        <v>0.005786625719975492</v>
      </c>
    </row>
    <row r="39" spans="6:9" ht="15">
      <c r="F39" s="28"/>
      <c r="H39" s="28"/>
      <c r="I39" s="11"/>
    </row>
    <row r="40" spans="1:10" ht="15">
      <c r="A40" t="s">
        <v>127</v>
      </c>
      <c r="D40">
        <v>20700</v>
      </c>
      <c r="F40" s="28">
        <f>+D40/14913.75</f>
        <v>1.3879808901181796</v>
      </c>
      <c r="H40" s="28">
        <f>+F40</f>
        <v>1.3879808901181796</v>
      </c>
      <c r="I40" s="11">
        <f>+F40/F32</f>
        <v>0.05916372080640152</v>
      </c>
      <c r="J40" s="2" t="s">
        <v>155</v>
      </c>
    </row>
    <row r="41" spans="6:9" ht="15">
      <c r="F41" s="28"/>
      <c r="H41" s="28"/>
      <c r="I41" s="11"/>
    </row>
    <row r="42" spans="1:9" ht="15">
      <c r="A42" s="3" t="s">
        <v>132</v>
      </c>
      <c r="F42" s="28"/>
      <c r="H42" s="28"/>
      <c r="I42" s="11"/>
    </row>
    <row r="43" spans="2:10" ht="15">
      <c r="B43" s="2" t="s">
        <v>208</v>
      </c>
      <c r="F43" s="28"/>
      <c r="H43" s="28"/>
      <c r="I43" s="11"/>
      <c r="J43" t="s">
        <v>174</v>
      </c>
    </row>
    <row r="44" spans="2:10" ht="15">
      <c r="B44" t="s">
        <v>128</v>
      </c>
      <c r="D44">
        <v>50000</v>
      </c>
      <c r="F44" s="28">
        <f>+D44/B36</f>
        <v>3.352622085733252</v>
      </c>
      <c r="H44" s="28">
        <f>+F44</f>
        <v>3.352622085733252</v>
      </c>
      <c r="I44" s="11">
        <f>+H44/F32</f>
        <v>0.1429080172946825</v>
      </c>
      <c r="J44" s="2" t="s">
        <v>185</v>
      </c>
    </row>
    <row r="45" spans="2:9" ht="15">
      <c r="B45" t="s">
        <v>129</v>
      </c>
      <c r="D45">
        <f>+'App B2'!K34-372600-'App B4'!D44</f>
        <v>-12816.859292604495</v>
      </c>
      <c r="F45" s="28">
        <f>+D45/14913.75</f>
        <v>-0.8593988294429299</v>
      </c>
      <c r="H45" s="28">
        <f>+F45</f>
        <v>-0.8593988294429299</v>
      </c>
      <c r="I45" s="11">
        <f>+H45/F32</f>
        <v>-0.036632516174037934</v>
      </c>
    </row>
    <row r="46" spans="6:9" ht="15">
      <c r="F46" s="28"/>
      <c r="H46" s="28"/>
      <c r="I46" s="11"/>
    </row>
    <row r="47" spans="1:10" ht="15">
      <c r="A47" s="3" t="s">
        <v>135</v>
      </c>
      <c r="D47">
        <v>20600</v>
      </c>
      <c r="F47" s="28">
        <f>+D47/B36</f>
        <v>1.3812802993220998</v>
      </c>
      <c r="H47" s="28">
        <f>+F47</f>
        <v>1.3812802993220998</v>
      </c>
      <c r="I47" s="11">
        <f>+H47/F32</f>
        <v>0.0588781031254092</v>
      </c>
      <c r="J47" t="s">
        <v>174</v>
      </c>
    </row>
    <row r="48" spans="6:9" ht="15">
      <c r="F48" s="28"/>
      <c r="H48" s="28"/>
      <c r="I48" s="11"/>
    </row>
    <row r="49" spans="1:10" ht="15">
      <c r="A49" s="3" t="s">
        <v>134</v>
      </c>
      <c r="D49">
        <v>65000</v>
      </c>
      <c r="F49" s="28">
        <f>+D49/B36</f>
        <v>4.358408711453228</v>
      </c>
      <c r="H49" s="28">
        <f>+F49</f>
        <v>4.358408711453228</v>
      </c>
      <c r="I49" s="11">
        <f>+H49/F32</f>
        <v>0.18578042248308727</v>
      </c>
      <c r="J49" t="s">
        <v>182</v>
      </c>
    </row>
    <row r="50" spans="6:9" ht="15">
      <c r="F50" s="28"/>
      <c r="H50" s="28"/>
      <c r="I50" s="11"/>
    </row>
    <row r="51" spans="2:9" ht="15.75" thickBot="1">
      <c r="B51" t="s">
        <v>206</v>
      </c>
      <c r="D51" s="17">
        <f>SUM(D32:D49)</f>
        <v>495383.1407073955</v>
      </c>
      <c r="F51" s="31">
        <f>SUM(F38:F49)</f>
        <v>33.21664739657445</v>
      </c>
      <c r="H51" s="31">
        <f>SUM(H32:H49)</f>
        <v>9.756647396574454</v>
      </c>
      <c r="I51" s="11">
        <f>SUM(I32:I49)</f>
        <v>0.415884373255518</v>
      </c>
    </row>
    <row r="52" spans="6:9" ht="15.75" thickTop="1">
      <c r="F52" s="28"/>
      <c r="H52" s="28"/>
      <c r="I52" s="11"/>
    </row>
    <row r="53" spans="6:9" ht="15">
      <c r="F53" s="28"/>
      <c r="I53" s="10"/>
    </row>
    <row r="54" spans="6:9" ht="15">
      <c r="F54" s="28"/>
      <c r="I54" s="10"/>
    </row>
    <row r="55" spans="6:9" ht="15">
      <c r="F55" s="28"/>
      <c r="I55" s="10"/>
    </row>
    <row r="56" spans="6:9" ht="15">
      <c r="F56" s="28"/>
      <c r="I56" s="10"/>
    </row>
    <row r="57" spans="6:9" ht="15">
      <c r="F57" s="28"/>
      <c r="I57" s="10"/>
    </row>
    <row r="58" spans="6:9" ht="15">
      <c r="F58" s="28"/>
      <c r="I58" s="10"/>
    </row>
    <row r="59" spans="6:9" ht="15">
      <c r="F59" s="28"/>
      <c r="I59" s="10"/>
    </row>
    <row r="60" spans="6:9" ht="15">
      <c r="F60" s="28"/>
      <c r="I60" s="10"/>
    </row>
    <row r="61" spans="6:9" ht="15">
      <c r="F61" s="28"/>
      <c r="I61" s="10"/>
    </row>
    <row r="62" spans="6:9" ht="15">
      <c r="F62" s="28"/>
      <c r="I62" s="10"/>
    </row>
    <row r="63" spans="6:9" ht="15">
      <c r="F63" s="28"/>
      <c r="I63" s="10"/>
    </row>
    <row r="64" spans="6:9" ht="15">
      <c r="F64" s="28"/>
      <c r="I64" s="10"/>
    </row>
    <row r="65" spans="6:9" ht="15">
      <c r="F65" s="28"/>
      <c r="I65" s="10"/>
    </row>
    <row r="66" spans="6:9" ht="15">
      <c r="F66" s="28"/>
      <c r="I66" s="10"/>
    </row>
    <row r="67" spans="6:9" ht="15">
      <c r="F67" s="28"/>
      <c r="I67" s="10"/>
    </row>
    <row r="68" spans="6:9" ht="15">
      <c r="F68" s="28"/>
      <c r="I68" s="10"/>
    </row>
    <row r="69" spans="6:9" ht="15">
      <c r="F69" s="28"/>
      <c r="I69" s="10"/>
    </row>
    <row r="70" spans="6:9" ht="15">
      <c r="F70" s="28"/>
      <c r="I70" s="10"/>
    </row>
    <row r="71" spans="6:9" ht="15">
      <c r="F71" s="28"/>
      <c r="I71" s="10"/>
    </row>
    <row r="72" spans="6:9" ht="15">
      <c r="F72" s="28"/>
      <c r="I72" s="10"/>
    </row>
    <row r="73" spans="6:9" ht="15">
      <c r="F73" s="28"/>
      <c r="I73" s="10"/>
    </row>
    <row r="74" spans="6:9" ht="15">
      <c r="F74" s="28"/>
      <c r="I74" s="10"/>
    </row>
    <row r="75" spans="6:9" ht="15">
      <c r="F75" s="28"/>
      <c r="I75" s="10"/>
    </row>
    <row r="76" spans="6:9" ht="15">
      <c r="F76" s="28"/>
      <c r="I76" s="10"/>
    </row>
    <row r="77" spans="6:9" ht="15">
      <c r="F77" s="28"/>
      <c r="I77" s="10"/>
    </row>
    <row r="78" spans="6:9" ht="15">
      <c r="F78" s="28"/>
      <c r="I78" s="10"/>
    </row>
    <row r="79" spans="6:9" ht="15">
      <c r="F79" s="28"/>
      <c r="I79" s="10"/>
    </row>
    <row r="80" spans="6:9" ht="15">
      <c r="F80" s="28"/>
      <c r="I80" s="10"/>
    </row>
    <row r="81" spans="6:9" ht="15">
      <c r="F81" s="28"/>
      <c r="I81" s="10"/>
    </row>
    <row r="82" spans="6:9" ht="15">
      <c r="F82" s="28"/>
      <c r="I82" s="10"/>
    </row>
    <row r="83" spans="6:9" ht="15">
      <c r="F83" s="28"/>
      <c r="I83" s="10"/>
    </row>
    <row r="84" spans="6:9" ht="15">
      <c r="F84" s="28"/>
      <c r="I84" s="10"/>
    </row>
    <row r="85" spans="6:9" ht="15">
      <c r="F85" s="28"/>
      <c r="I85" s="10"/>
    </row>
    <row r="86" spans="6:9" ht="15">
      <c r="F86" s="28"/>
      <c r="I86" s="10"/>
    </row>
    <row r="87" spans="6:9" ht="15">
      <c r="F87" s="28"/>
      <c r="I87" s="10"/>
    </row>
    <row r="88" spans="6:9" ht="15">
      <c r="F88" s="28"/>
      <c r="I88" s="10"/>
    </row>
    <row r="89" spans="6:9" ht="15">
      <c r="F89" s="28"/>
      <c r="I89" s="10"/>
    </row>
    <row r="90" spans="6:9" ht="15">
      <c r="F90" s="28"/>
      <c r="I90" s="10"/>
    </row>
    <row r="91" spans="6:9" ht="15">
      <c r="F91" s="28"/>
      <c r="I91" s="10"/>
    </row>
    <row r="92" spans="6:9" ht="15">
      <c r="F92" s="28"/>
      <c r="I92" s="10"/>
    </row>
    <row r="93" spans="6:9" ht="15">
      <c r="F93" s="28"/>
      <c r="I93" s="10"/>
    </row>
    <row r="94" spans="6:9" ht="15">
      <c r="F94" s="28"/>
      <c r="I94" s="10"/>
    </row>
    <row r="95" spans="6:9" ht="15">
      <c r="F95" s="28"/>
      <c r="I95" s="10"/>
    </row>
    <row r="96" spans="6:9" ht="15">
      <c r="F96" s="28"/>
      <c r="I96" s="10"/>
    </row>
    <row r="97" spans="6:9" ht="15">
      <c r="F97" s="28"/>
      <c r="I97" s="10"/>
    </row>
    <row r="98" ht="15">
      <c r="I98" s="10"/>
    </row>
    <row r="99" ht="15">
      <c r="I99" s="10"/>
    </row>
    <row r="100" ht="15">
      <c r="I100" s="10"/>
    </row>
    <row r="101" ht="15">
      <c r="I101" s="10"/>
    </row>
    <row r="102" ht="15">
      <c r="I102" s="10"/>
    </row>
    <row r="103" ht="15">
      <c r="I103" s="10"/>
    </row>
    <row r="104" ht="15">
      <c r="I104" s="10"/>
    </row>
    <row r="105" ht="15">
      <c r="I105" s="10"/>
    </row>
    <row r="106" ht="15">
      <c r="I106" s="10"/>
    </row>
    <row r="107" ht="15">
      <c r="I107" s="10"/>
    </row>
    <row r="108" ht="15">
      <c r="I108" s="10"/>
    </row>
    <row r="109" ht="15">
      <c r="I109" s="10"/>
    </row>
    <row r="110" ht="15">
      <c r="I110" s="10"/>
    </row>
    <row r="111" ht="15">
      <c r="I111" s="10"/>
    </row>
    <row r="112" ht="15">
      <c r="I112" s="10"/>
    </row>
    <row r="113" ht="15">
      <c r="I113" s="10"/>
    </row>
    <row r="114" ht="15">
      <c r="I114" s="10"/>
    </row>
    <row r="115" ht="15">
      <c r="I115" s="10"/>
    </row>
    <row r="116" ht="15">
      <c r="I116" s="10"/>
    </row>
    <row r="117" ht="15">
      <c r="I117" s="10"/>
    </row>
    <row r="118" ht="15">
      <c r="I118" s="10"/>
    </row>
    <row r="119" ht="15">
      <c r="I119" s="10"/>
    </row>
    <row r="120" ht="15">
      <c r="I120" s="10"/>
    </row>
    <row r="121" ht="15">
      <c r="I121" s="10"/>
    </row>
    <row r="122" ht="15">
      <c r="I122" s="10"/>
    </row>
    <row r="123" ht="15">
      <c r="I123" s="10"/>
    </row>
    <row r="124" ht="15">
      <c r="I124" s="10"/>
    </row>
    <row r="125" ht="15">
      <c r="I125" s="10"/>
    </row>
    <row r="126" ht="15">
      <c r="I126" s="10"/>
    </row>
    <row r="127" ht="15">
      <c r="I127" s="10"/>
    </row>
    <row r="128" ht="15">
      <c r="I128" s="10"/>
    </row>
    <row r="129" ht="15">
      <c r="I129" s="10"/>
    </row>
    <row r="130" ht="15">
      <c r="I130" s="10"/>
    </row>
    <row r="131" ht="15">
      <c r="I131" s="10"/>
    </row>
    <row r="132" ht="15">
      <c r="I132" s="10"/>
    </row>
    <row r="133" ht="15">
      <c r="I133" s="10"/>
    </row>
    <row r="134" ht="15">
      <c r="I134" s="10"/>
    </row>
    <row r="135" ht="15">
      <c r="I135" s="10"/>
    </row>
    <row r="136" ht="15">
      <c r="I136" s="10"/>
    </row>
    <row r="137" ht="15">
      <c r="I137" s="10"/>
    </row>
    <row r="138" ht="15">
      <c r="I138" s="10"/>
    </row>
    <row r="139" ht="15">
      <c r="I139" s="10"/>
    </row>
    <row r="140" ht="15">
      <c r="I140" s="10"/>
    </row>
    <row r="141" ht="15">
      <c r="I141" s="10"/>
    </row>
    <row r="142" ht="15">
      <c r="I142" s="10"/>
    </row>
    <row r="143" ht="15">
      <c r="I143" s="10"/>
    </row>
    <row r="144" ht="15">
      <c r="I144" s="10"/>
    </row>
    <row r="145" ht="15">
      <c r="I145" s="10"/>
    </row>
    <row r="146" ht="15">
      <c r="I146" s="10"/>
    </row>
    <row r="147" ht="15">
      <c r="I147" s="10"/>
    </row>
    <row r="148" ht="15">
      <c r="I148" s="10"/>
    </row>
    <row r="149" ht="15">
      <c r="I149" s="10"/>
    </row>
    <row r="150" ht="15">
      <c r="I150" s="10"/>
    </row>
    <row r="151" ht="15">
      <c r="I151" s="10"/>
    </row>
    <row r="152" ht="15">
      <c r="I152" s="10"/>
    </row>
    <row r="153" ht="15">
      <c r="I153" s="10"/>
    </row>
    <row r="154" ht="15">
      <c r="I154" s="10"/>
    </row>
    <row r="155" ht="15">
      <c r="I155" s="10"/>
    </row>
    <row r="156" ht="15">
      <c r="I156" s="10"/>
    </row>
    <row r="157" ht="15">
      <c r="I157" s="10"/>
    </row>
    <row r="158" ht="15">
      <c r="I158" s="10"/>
    </row>
    <row r="159" ht="15">
      <c r="I159" s="10"/>
    </row>
    <row r="160" ht="15">
      <c r="I160" s="10"/>
    </row>
    <row r="161" ht="15">
      <c r="I161" s="10"/>
    </row>
    <row r="162" ht="15">
      <c r="I162" s="10"/>
    </row>
    <row r="163" ht="15">
      <c r="I163" s="10"/>
    </row>
    <row r="164" ht="15">
      <c r="I164" s="10"/>
    </row>
    <row r="165" ht="15">
      <c r="I165" s="10"/>
    </row>
    <row r="166" ht="15">
      <c r="I166" s="10"/>
    </row>
    <row r="167" ht="15">
      <c r="I167" s="10"/>
    </row>
    <row r="168" ht="15">
      <c r="I168" s="10"/>
    </row>
    <row r="169" ht="15">
      <c r="I169" s="10"/>
    </row>
    <row r="170" ht="15">
      <c r="I170" s="10"/>
    </row>
    <row r="171" ht="15">
      <c r="I171" s="10"/>
    </row>
    <row r="172" ht="15">
      <c r="I172" s="10"/>
    </row>
    <row r="173" ht="15">
      <c r="I173" s="10"/>
    </row>
    <row r="174" ht="15">
      <c r="I174" s="10"/>
    </row>
    <row r="175" ht="15">
      <c r="I175" s="10"/>
    </row>
    <row r="176" ht="15">
      <c r="I176" s="10"/>
    </row>
    <row r="177" ht="15">
      <c r="I177" s="10"/>
    </row>
    <row r="178" ht="15">
      <c r="I178" s="10"/>
    </row>
    <row r="179" ht="15">
      <c r="I179" s="10"/>
    </row>
    <row r="180" ht="15">
      <c r="I180" s="10"/>
    </row>
    <row r="181" ht="15">
      <c r="I181" s="10"/>
    </row>
    <row r="182" ht="15">
      <c r="I182" s="10"/>
    </row>
    <row r="183" ht="15">
      <c r="I183" s="10"/>
    </row>
    <row r="184" ht="15">
      <c r="I184" s="10"/>
    </row>
    <row r="185" ht="15">
      <c r="I185" s="10"/>
    </row>
    <row r="186" ht="15">
      <c r="I186" s="10"/>
    </row>
    <row r="187" ht="15">
      <c r="I187" s="10"/>
    </row>
    <row r="188" ht="15">
      <c r="I188" s="10"/>
    </row>
    <row r="189" ht="15">
      <c r="I189" s="10"/>
    </row>
    <row r="190" ht="15">
      <c r="I190" s="10"/>
    </row>
    <row r="191" ht="15">
      <c r="I191" s="10"/>
    </row>
    <row r="192" ht="15">
      <c r="I192" s="10"/>
    </row>
    <row r="193" ht="15">
      <c r="I193" s="10"/>
    </row>
    <row r="194" ht="15">
      <c r="I194" s="10"/>
    </row>
    <row r="195" ht="15">
      <c r="I195" s="10"/>
    </row>
    <row r="196" ht="15">
      <c r="I196" s="10"/>
    </row>
    <row r="197" ht="15">
      <c r="I197" s="10"/>
    </row>
    <row r="198" ht="15">
      <c r="I198" s="10"/>
    </row>
    <row r="199" ht="15">
      <c r="I199" s="10"/>
    </row>
    <row r="200" ht="15">
      <c r="I200" s="10"/>
    </row>
    <row r="201" ht="15">
      <c r="I201" s="10"/>
    </row>
    <row r="202" ht="15">
      <c r="I202" s="10"/>
    </row>
    <row r="203" ht="15">
      <c r="I203" s="10"/>
    </row>
    <row r="204" ht="15">
      <c r="I204" s="10"/>
    </row>
    <row r="205" ht="15">
      <c r="I205" s="10"/>
    </row>
    <row r="206" ht="15">
      <c r="I206" s="10"/>
    </row>
    <row r="207" ht="15">
      <c r="I207" s="10"/>
    </row>
    <row r="208" ht="15">
      <c r="I208" s="10"/>
    </row>
    <row r="209" ht="15">
      <c r="I209" s="10"/>
    </row>
    <row r="210" ht="15">
      <c r="I210" s="10"/>
    </row>
    <row r="211" ht="15">
      <c r="I211" s="10"/>
    </row>
  </sheetData>
  <mergeCells count="2">
    <mergeCell ref="H5:I5"/>
    <mergeCell ref="H30:I30"/>
  </mergeCells>
  <printOptions/>
  <pageMargins left="0.75" right="0.75" top="1" bottom="1" header="0.5" footer="0.5"/>
  <pageSetup fitToHeight="1" fitToWidth="1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workbookViewId="0" topLeftCell="A1">
      <selection activeCell="A1" sqref="A1"/>
    </sheetView>
  </sheetViews>
  <sheetFormatPr defaultColWidth="9.140625" defaultRowHeight="15"/>
  <cols>
    <col min="5" max="5" width="6.7109375" style="0" customWidth="1"/>
    <col min="7" max="7" width="3.7109375" style="0" customWidth="1"/>
    <col min="9" max="9" width="3.7109375" style="0" customWidth="1"/>
    <col min="11" max="11" width="10.8515625" style="0" customWidth="1"/>
  </cols>
  <sheetData>
    <row r="1" spans="1:11" ht="15">
      <c r="A1" s="1" t="s">
        <v>121</v>
      </c>
      <c r="K1" s="15" t="s">
        <v>147</v>
      </c>
    </row>
    <row r="3" ht="15">
      <c r="A3" s="16" t="s">
        <v>96</v>
      </c>
    </row>
    <row r="5" spans="6:10" ht="15">
      <c r="F5" s="5" t="s">
        <v>99</v>
      </c>
      <c r="G5" s="5"/>
      <c r="H5" s="5" t="s">
        <v>97</v>
      </c>
      <c r="J5" s="5"/>
    </row>
    <row r="6" spans="6:10" ht="15">
      <c r="F6" s="5" t="s">
        <v>19</v>
      </c>
      <c r="G6" s="5"/>
      <c r="H6" s="5" t="s">
        <v>165</v>
      </c>
      <c r="J6" s="5" t="s">
        <v>64</v>
      </c>
    </row>
    <row r="7" spans="1:10" ht="15">
      <c r="A7" s="16" t="s">
        <v>112</v>
      </c>
      <c r="F7" s="5" t="s">
        <v>14</v>
      </c>
      <c r="H7" s="5" t="s">
        <v>14</v>
      </c>
      <c r="J7" s="5" t="s">
        <v>14</v>
      </c>
    </row>
    <row r="8" spans="1:11" ht="15">
      <c r="A8" s="18" t="s">
        <v>209</v>
      </c>
      <c r="F8" s="21">
        <f>12.5*8.01</f>
        <v>100.125</v>
      </c>
      <c r="H8" s="21">
        <f>12.5*33.22</f>
        <v>415.25</v>
      </c>
      <c r="J8" s="21">
        <f>SUM(F8:I8)</f>
        <v>515.375</v>
      </c>
      <c r="K8" s="2" t="s">
        <v>186</v>
      </c>
    </row>
    <row r="10" ht="15">
      <c r="A10" s="18" t="s">
        <v>101</v>
      </c>
    </row>
    <row r="11" spans="1:11" ht="15">
      <c r="A11" t="s">
        <v>102</v>
      </c>
      <c r="F11" s="21">
        <v>100</v>
      </c>
      <c r="G11" s="21"/>
      <c r="H11" s="21">
        <v>600</v>
      </c>
      <c r="J11" s="21">
        <f>SUM(F11:I11)</f>
        <v>700</v>
      </c>
      <c r="K11" s="2" t="s">
        <v>187</v>
      </c>
    </row>
    <row r="12" spans="1:11" ht="15">
      <c r="A12" t="s">
        <v>103</v>
      </c>
      <c r="F12" s="21">
        <v>100</v>
      </c>
      <c r="G12" s="21"/>
      <c r="H12" s="21">
        <v>350</v>
      </c>
      <c r="J12" s="21">
        <f>SUM(F12:I12)</f>
        <v>450</v>
      </c>
      <c r="K12" s="2" t="s">
        <v>187</v>
      </c>
    </row>
    <row r="14" ht="15">
      <c r="A14" s="18" t="s">
        <v>104</v>
      </c>
    </row>
    <row r="15" spans="1:11" ht="15">
      <c r="A15" t="s">
        <v>105</v>
      </c>
      <c r="F15" s="21">
        <f>9.5*12.5</f>
        <v>118.75</v>
      </c>
      <c r="G15" s="21"/>
      <c r="H15" s="21">
        <f>35.5*12.5</f>
        <v>443.75</v>
      </c>
      <c r="J15" s="21">
        <f>SUM(F15:I15)</f>
        <v>562.5</v>
      </c>
      <c r="K15" s="2" t="s">
        <v>187</v>
      </c>
    </row>
    <row r="17" ht="15">
      <c r="A17" s="18" t="s">
        <v>106</v>
      </c>
    </row>
    <row r="18" spans="1:11" ht="15">
      <c r="A18" t="s">
        <v>107</v>
      </c>
      <c r="F18" s="21">
        <v>120</v>
      </c>
      <c r="G18" s="21"/>
      <c r="H18" s="21">
        <v>900</v>
      </c>
      <c r="J18" s="21">
        <f>SUM(F18:I18)</f>
        <v>1020</v>
      </c>
      <c r="K18" s="2" t="s">
        <v>187</v>
      </c>
    </row>
    <row r="20" ht="15">
      <c r="A20" s="18" t="s">
        <v>108</v>
      </c>
    </row>
    <row r="21" spans="1:11" ht="15">
      <c r="A21" t="s">
        <v>102</v>
      </c>
      <c r="F21" s="20" t="s">
        <v>109</v>
      </c>
      <c r="H21" s="20" t="s">
        <v>109</v>
      </c>
      <c r="J21" s="21">
        <v>1500</v>
      </c>
      <c r="K21" s="2" t="s">
        <v>188</v>
      </c>
    </row>
    <row r="23" ht="15">
      <c r="A23" s="18" t="s">
        <v>110</v>
      </c>
    </row>
    <row r="24" spans="1:11" ht="15">
      <c r="A24" t="s">
        <v>102</v>
      </c>
      <c r="F24" s="21">
        <f>+F8</f>
        <v>100.125</v>
      </c>
      <c r="G24" s="21"/>
      <c r="H24" s="21">
        <v>600</v>
      </c>
      <c r="J24" s="21">
        <f>SUM(F24:I24)</f>
        <v>700.125</v>
      </c>
      <c r="K24" s="2" t="s">
        <v>189</v>
      </c>
    </row>
    <row r="26" ht="15">
      <c r="A26" s="18" t="s">
        <v>111</v>
      </c>
    </row>
    <row r="27" spans="1:11" ht="15">
      <c r="A27" t="s">
        <v>105</v>
      </c>
      <c r="F27" s="21">
        <f>+F8</f>
        <v>100.125</v>
      </c>
      <c r="G27" s="21"/>
      <c r="H27" s="21">
        <f>45*12.5</f>
        <v>562.5</v>
      </c>
      <c r="J27" s="21">
        <f>SUM(F27:I27)</f>
        <v>662.625</v>
      </c>
      <c r="K27" s="2" t="s">
        <v>187</v>
      </c>
    </row>
    <row r="29" ht="15">
      <c r="A29" s="16" t="s">
        <v>169</v>
      </c>
    </row>
    <row r="30" ht="15">
      <c r="F30" s="5" t="s">
        <v>14</v>
      </c>
    </row>
    <row r="31" spans="1:11" ht="15">
      <c r="A31" s="18" t="s">
        <v>100</v>
      </c>
      <c r="F31" s="21">
        <f>8.01*11.25</f>
        <v>90.1125</v>
      </c>
      <c r="K31" s="2" t="s">
        <v>186</v>
      </c>
    </row>
    <row r="32" spans="1:6" ht="15">
      <c r="A32" s="18"/>
      <c r="F32" s="21"/>
    </row>
    <row r="33" spans="1:11" ht="15">
      <c r="A33" s="18" t="s">
        <v>104</v>
      </c>
      <c r="F33" s="21">
        <f>11.25*9.5</f>
        <v>106.875</v>
      </c>
      <c r="K33" s="2" t="s">
        <v>187</v>
      </c>
    </row>
    <row r="34" spans="1:6" ht="15">
      <c r="A34" s="18"/>
      <c r="F34" s="21"/>
    </row>
    <row r="35" spans="1:11" ht="15">
      <c r="A35" s="18" t="s">
        <v>113</v>
      </c>
      <c r="F35" s="21">
        <v>120</v>
      </c>
      <c r="K35" s="2" t="s">
        <v>187</v>
      </c>
    </row>
    <row r="37" spans="1:11" ht="15">
      <c r="A37" s="18" t="s">
        <v>106</v>
      </c>
      <c r="F37" s="21">
        <v>120</v>
      </c>
      <c r="K37" s="2" t="s">
        <v>187</v>
      </c>
    </row>
    <row r="39" spans="1:11" ht="15">
      <c r="A39" s="18" t="s">
        <v>114</v>
      </c>
      <c r="F39" s="21">
        <f>1.2*11.25*12</f>
        <v>162</v>
      </c>
      <c r="K39" s="2" t="s">
        <v>187</v>
      </c>
    </row>
    <row r="41" ht="15">
      <c r="A41" s="1" t="s">
        <v>115</v>
      </c>
    </row>
    <row r="42" ht="15">
      <c r="A42" t="s">
        <v>166</v>
      </c>
    </row>
    <row r="43" ht="15">
      <c r="A43" t="s">
        <v>168</v>
      </c>
    </row>
    <row r="44" ht="15">
      <c r="A44" t="s">
        <v>167</v>
      </c>
    </row>
    <row r="45" ht="15">
      <c r="A45" t="s">
        <v>170</v>
      </c>
    </row>
    <row r="47" ht="15">
      <c r="A47" t="s">
        <v>116</v>
      </c>
    </row>
    <row r="48" ht="15">
      <c r="A48" t="s">
        <v>191</v>
      </c>
    </row>
    <row r="49" ht="15">
      <c r="A49" t="s">
        <v>212</v>
      </c>
    </row>
    <row r="50" ht="15">
      <c r="A50" t="s">
        <v>213</v>
      </c>
    </row>
    <row r="51" ht="15">
      <c r="A51" t="s">
        <v>210</v>
      </c>
    </row>
    <row r="52" ht="15">
      <c r="A52" t="s">
        <v>211</v>
      </c>
    </row>
    <row r="54" ht="15">
      <c r="A54" t="s">
        <v>117</v>
      </c>
    </row>
    <row r="55" ht="15">
      <c r="A55" t="s">
        <v>118</v>
      </c>
    </row>
    <row r="56" ht="15">
      <c r="A56" t="s">
        <v>119</v>
      </c>
    </row>
  </sheetData>
  <printOptions/>
  <pageMargins left="0.75" right="0.75" top="1" bottom="1" header="0.5" footer="0.5"/>
  <pageSetup fitToHeight="1" fitToWidth="1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8">
      <selection activeCell="A25" sqref="A25"/>
    </sheetView>
  </sheetViews>
  <sheetFormatPr defaultColWidth="9.140625" defaultRowHeight="15"/>
  <cols>
    <col min="1" max="1" width="17.140625" style="0" customWidth="1"/>
    <col min="2" max="2" width="20.00390625" style="0" customWidth="1"/>
    <col min="3" max="3" width="7.7109375" style="0" customWidth="1"/>
    <col min="4" max="4" width="3.421875" style="0" customWidth="1"/>
    <col min="5" max="5" width="10.421875" style="0" customWidth="1"/>
    <col min="6" max="6" width="3.140625" style="0" customWidth="1"/>
  </cols>
  <sheetData>
    <row r="1" spans="1:7" ht="15.75">
      <c r="A1" s="40"/>
      <c r="B1" s="40"/>
      <c r="C1" s="40"/>
      <c r="D1" s="40"/>
      <c r="E1" s="45" t="s">
        <v>99</v>
      </c>
      <c r="F1" s="40"/>
      <c r="G1" s="40"/>
    </row>
    <row r="2" spans="1:7" ht="15.75">
      <c r="A2" s="44" t="s">
        <v>192</v>
      </c>
      <c r="B2" s="44" t="s">
        <v>203</v>
      </c>
      <c r="C2" s="40"/>
      <c r="D2" s="40"/>
      <c r="E2" s="45" t="s">
        <v>193</v>
      </c>
      <c r="F2" s="40"/>
      <c r="G2" s="40" t="s">
        <v>3</v>
      </c>
    </row>
    <row r="3" spans="1:7" ht="15.75">
      <c r="A3" s="40"/>
      <c r="B3" s="40"/>
      <c r="C3" s="40"/>
      <c r="D3" s="40"/>
      <c r="E3" s="40"/>
      <c r="F3" s="40"/>
      <c r="G3" s="40"/>
    </row>
    <row r="4" spans="1:7" ht="15.75">
      <c r="A4" s="40" t="s">
        <v>140</v>
      </c>
      <c r="B4" s="40" t="s">
        <v>139</v>
      </c>
      <c r="D4" s="40"/>
      <c r="E4" s="42">
        <v>0.9</v>
      </c>
      <c r="F4" s="41"/>
      <c r="G4" s="42">
        <v>0.1</v>
      </c>
    </row>
    <row r="5" spans="1:7" ht="15.75">
      <c r="A5" s="40"/>
      <c r="B5" s="40"/>
      <c r="D5" s="40"/>
      <c r="E5" s="42"/>
      <c r="F5" s="41"/>
      <c r="G5" s="42"/>
    </row>
    <row r="6" spans="1:7" ht="15.75">
      <c r="A6" s="40" t="s">
        <v>141</v>
      </c>
      <c r="B6" s="40" t="s">
        <v>195</v>
      </c>
      <c r="D6" s="40"/>
      <c r="E6" s="42">
        <v>0.6</v>
      </c>
      <c r="F6" s="41"/>
      <c r="G6" s="42">
        <v>0.4</v>
      </c>
    </row>
    <row r="7" spans="1:7" ht="15.75">
      <c r="A7" s="40"/>
      <c r="B7" s="40"/>
      <c r="D7" s="40"/>
      <c r="E7" s="42"/>
      <c r="F7" s="41"/>
      <c r="G7" s="42"/>
    </row>
    <row r="8" spans="1:7" ht="15.75">
      <c r="A8" s="40" t="s">
        <v>142</v>
      </c>
      <c r="B8" s="40" t="s">
        <v>5</v>
      </c>
      <c r="D8" s="40"/>
      <c r="E8" s="42">
        <v>0</v>
      </c>
      <c r="F8" s="41"/>
      <c r="G8" s="42">
        <v>1</v>
      </c>
    </row>
    <row r="9" spans="1:7" ht="15.75">
      <c r="A9" s="43" t="s">
        <v>194</v>
      </c>
      <c r="B9" s="43"/>
      <c r="D9" s="40"/>
      <c r="E9" s="42"/>
      <c r="F9" s="41"/>
      <c r="G9" s="42"/>
    </row>
    <row r="10" spans="1:7" ht="15.75">
      <c r="A10" s="43"/>
      <c r="B10" s="43"/>
      <c r="D10" s="40"/>
      <c r="E10" s="42"/>
      <c r="F10" s="41"/>
      <c r="G10" s="42"/>
    </row>
    <row r="11" spans="1:7" ht="15.75">
      <c r="A11" s="40" t="s">
        <v>143</v>
      </c>
      <c r="B11" s="40" t="s">
        <v>196</v>
      </c>
      <c r="D11" s="40"/>
      <c r="E11" s="42">
        <v>0.7</v>
      </c>
      <c r="F11" s="41"/>
      <c r="G11" s="42">
        <v>0.3</v>
      </c>
    </row>
    <row r="12" spans="1:7" ht="15.75">
      <c r="A12" s="40" t="s">
        <v>190</v>
      </c>
      <c r="B12" s="40" t="s">
        <v>196</v>
      </c>
      <c r="D12" s="40"/>
      <c r="E12" s="42">
        <v>0.7</v>
      </c>
      <c r="F12" s="41"/>
      <c r="G12" s="42">
        <v>0.3</v>
      </c>
    </row>
    <row r="13" spans="1:7" ht="15.75">
      <c r="A13" s="40" t="s">
        <v>144</v>
      </c>
      <c r="B13" s="40" t="s">
        <v>196</v>
      </c>
      <c r="D13" s="40"/>
      <c r="E13" s="42">
        <v>0.7</v>
      </c>
      <c r="F13" s="41"/>
      <c r="G13" s="42">
        <v>0.3</v>
      </c>
    </row>
    <row r="14" spans="1:7" ht="15.75">
      <c r="A14" s="40"/>
      <c r="B14" s="40"/>
      <c r="D14" s="40"/>
      <c r="E14" s="42"/>
      <c r="F14" s="41"/>
      <c r="G14" s="42"/>
    </row>
    <row r="15" spans="1:7" ht="15.75">
      <c r="A15" s="40" t="s">
        <v>145</v>
      </c>
      <c r="B15" s="40" t="s">
        <v>196</v>
      </c>
      <c r="D15" s="40"/>
      <c r="E15" s="42">
        <v>0.7</v>
      </c>
      <c r="F15" s="41"/>
      <c r="G15" s="42">
        <v>0.3</v>
      </c>
    </row>
    <row r="16" spans="1:7" ht="15.75">
      <c r="A16" s="40" t="s">
        <v>145</v>
      </c>
      <c r="B16" s="40" t="s">
        <v>197</v>
      </c>
      <c r="D16" s="40"/>
      <c r="E16" s="42">
        <v>0</v>
      </c>
      <c r="F16" s="41"/>
      <c r="G16" s="42">
        <v>1</v>
      </c>
    </row>
    <row r="17" spans="1:7" ht="15.75">
      <c r="A17" s="40"/>
      <c r="B17" s="40"/>
      <c r="D17" s="40"/>
      <c r="E17" s="42"/>
      <c r="F17" s="41"/>
      <c r="G17" s="42"/>
    </row>
    <row r="18" spans="1:7" ht="15.75">
      <c r="A18" s="40" t="s">
        <v>146</v>
      </c>
      <c r="B18" s="40" t="s">
        <v>198</v>
      </c>
      <c r="D18" s="40"/>
      <c r="E18" s="42">
        <v>0.5</v>
      </c>
      <c r="F18" s="41"/>
      <c r="G18" s="42">
        <v>0.5</v>
      </c>
    </row>
    <row r="19" spans="1:7" ht="15.75">
      <c r="A19" s="40"/>
      <c r="B19" s="40"/>
      <c r="C19" s="40"/>
      <c r="D19" s="40"/>
      <c r="E19" s="42"/>
      <c r="F19" s="41"/>
      <c r="G19" s="42"/>
    </row>
    <row r="20" spans="1:7" ht="15.75">
      <c r="A20" s="40" t="s">
        <v>199</v>
      </c>
      <c r="B20" s="40" t="s">
        <v>200</v>
      </c>
      <c r="C20" s="40"/>
      <c r="D20" s="40"/>
      <c r="E20" s="42">
        <v>0</v>
      </c>
      <c r="F20" s="41"/>
      <c r="G20" s="42">
        <v>1</v>
      </c>
    </row>
    <row r="21" spans="1:7" ht="15.75">
      <c r="A21" s="40"/>
      <c r="B21" s="40"/>
      <c r="C21" s="40"/>
      <c r="D21" s="40"/>
      <c r="E21" s="42"/>
      <c r="F21" s="41"/>
      <c r="G21" s="42"/>
    </row>
    <row r="22" spans="1:7" ht="15.75">
      <c r="A22" s="40"/>
      <c r="B22" s="40" t="s">
        <v>201</v>
      </c>
      <c r="C22" s="40"/>
      <c r="D22" s="40"/>
      <c r="E22" s="42">
        <v>0</v>
      </c>
      <c r="F22" s="41"/>
      <c r="G22" s="42">
        <v>1</v>
      </c>
    </row>
    <row r="23" spans="1:7" ht="15.75">
      <c r="A23" s="43" t="s">
        <v>202</v>
      </c>
      <c r="B23" s="40"/>
      <c r="C23" s="40"/>
      <c r="D23" s="40"/>
      <c r="E23" s="40"/>
      <c r="F23" s="40"/>
      <c r="G23" s="40"/>
    </row>
    <row r="24" spans="1:7" ht="15.75">
      <c r="A24" s="40"/>
      <c r="B24" s="40"/>
      <c r="C24" s="40"/>
      <c r="D24" s="40"/>
      <c r="E24" s="40"/>
      <c r="F24" s="40"/>
      <c r="G24" s="40"/>
    </row>
    <row r="25" spans="1:7" ht="15.75">
      <c r="A25" s="40"/>
      <c r="B25" s="40"/>
      <c r="C25" s="40"/>
      <c r="D25" s="40"/>
      <c r="E25" s="40"/>
      <c r="F25" s="40"/>
      <c r="G25" s="40"/>
    </row>
    <row r="26" spans="1:7" ht="15.75">
      <c r="A26" s="40"/>
      <c r="B26" s="40"/>
      <c r="C26" s="40"/>
      <c r="D26" s="40"/>
      <c r="E26" s="40"/>
      <c r="F26" s="40"/>
      <c r="G26" s="40"/>
    </row>
    <row r="27" spans="1:7" ht="15.75">
      <c r="A27" s="40"/>
      <c r="B27" s="40"/>
      <c r="C27" s="40"/>
      <c r="D27" s="40"/>
      <c r="E27" s="40"/>
      <c r="F27" s="40"/>
      <c r="G27" s="40"/>
    </row>
    <row r="28" spans="1:7" ht="15.75">
      <c r="A28" s="40"/>
      <c r="B28" s="40"/>
      <c r="C28" s="40"/>
      <c r="D28" s="40"/>
      <c r="E28" s="40"/>
      <c r="F28" s="40"/>
      <c r="G28" s="40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cip083</cp:lastModifiedBy>
  <cp:lastPrinted>2003-10-17T13:09:02Z</cp:lastPrinted>
  <dcterms:created xsi:type="dcterms:W3CDTF">2001-01-07T15:01:05Z</dcterms:created>
  <dcterms:modified xsi:type="dcterms:W3CDTF">2004-02-02T11:28:20Z</dcterms:modified>
  <cp:category/>
  <cp:version/>
  <cp:contentType/>
  <cp:contentStatus/>
</cp:coreProperties>
</file>