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105" windowWidth="11340" windowHeight="6540" activeTab="2"/>
  </bookViews>
  <sheets>
    <sheet name="Appendix C1" sheetId="1" r:id="rId1"/>
    <sheet name="Appendix C2" sheetId="2" r:id="rId2"/>
    <sheet name="Appendix C5" sheetId="3" r:id="rId3"/>
    <sheet name="Dwellings" sheetId="4" r:id="rId4"/>
    <sheet name="Pop'n" sheetId="5" r:id="rId5"/>
    <sheet name="Pop'n (2)" sheetId="6" r:id="rId6"/>
    <sheet name="App C3 (Old)" sheetId="7" r:id="rId7"/>
    <sheet name="General" sheetId="8" r:id="rId8"/>
    <sheet name="Home Composting" sheetId="9" r:id="rId9"/>
    <sheet name="Glass Collection" sheetId="10" r:id="rId10"/>
    <sheet name="Appendix C43" sheetId="11" r:id="rId11"/>
    <sheet name="Appendix C33" sheetId="12" r:id="rId12"/>
    <sheet name="Appendix CX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David Shirer</author>
  </authors>
  <commentList>
    <comment ref="C8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13</t>
        </r>
      </text>
    </comment>
    <comment ref="C9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E</t>
        </r>
      </text>
    </comment>
    <comment ref="C6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13</t>
        </r>
      </text>
    </comment>
    <comment ref="B14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8</t>
        </r>
      </text>
    </comment>
    <comment ref="C17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13</t>
        </r>
      </text>
    </comment>
    <comment ref="C19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13</t>
        </r>
      </text>
    </comment>
    <comment ref="C23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26</t>
        </r>
      </text>
    </comment>
    <comment ref="D27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13</t>
        </r>
      </text>
    </comment>
    <comment ref="C31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13</t>
        </r>
      </text>
    </comment>
    <comment ref="D31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13</t>
        </r>
      </text>
    </comment>
    <comment ref="D38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12</t>
        </r>
      </text>
    </comment>
    <comment ref="D39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12</t>
        </r>
      </text>
    </comment>
  </commentList>
</comments>
</file>

<file path=xl/comments12.xml><?xml version="1.0" encoding="utf-8"?>
<comments xmlns="http://schemas.openxmlformats.org/spreadsheetml/2006/main">
  <authors>
    <author>David Shirer</author>
  </authors>
  <commentList>
    <comment ref="C8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14</t>
        </r>
      </text>
    </comment>
    <comment ref="B11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7
</t>
        </r>
      </text>
    </comment>
    <comment ref="D8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<sst xmlns="http://schemas.openxmlformats.org/spreadsheetml/2006/main" count="819" uniqueCount="360">
  <si>
    <t>General</t>
  </si>
  <si>
    <t>Recycling credit (£/tonne)</t>
  </si>
  <si>
    <t>1995/96</t>
  </si>
  <si>
    <t>2004/05</t>
  </si>
  <si>
    <t>Inflation adjustment 1995/96 - 2003/04</t>
  </si>
  <si>
    <t>Waste collected</t>
  </si>
  <si>
    <t>Refuse collection</t>
  </si>
  <si>
    <t>Population</t>
  </si>
  <si>
    <t>Wheelingham</t>
  </si>
  <si>
    <t>Mid-Sussex</t>
  </si>
  <si>
    <t>Mid-S</t>
  </si>
  <si>
    <t>Take-up for home composters</t>
  </si>
  <si>
    <t>No of households</t>
  </si>
  <si>
    <t>Nos of households taking up bins</t>
  </si>
  <si>
    <t>Cost per bin (£)</t>
  </si>
  <si>
    <t>Life of bins (Years)</t>
  </si>
  <si>
    <t>Interest rate</t>
  </si>
  <si>
    <t>Depreciation</t>
  </si>
  <si>
    <t>Residual value</t>
  </si>
  <si>
    <t>Capital charge</t>
  </si>
  <si>
    <t>Per home composter</t>
  </si>
  <si>
    <t>£</t>
  </si>
  <si>
    <t>Total capital charge</t>
  </si>
  <si>
    <t>Interest (At mid-point)</t>
  </si>
  <si>
    <t>Waste per household (tonnes)</t>
  </si>
  <si>
    <t>Percentage likely to be composted</t>
  </si>
  <si>
    <t>Estimated wieght of material composted (Tonnes)</t>
  </si>
  <si>
    <t>Estimated total weight of material composted</t>
  </si>
  <si>
    <t>Estimated total recycling credit</t>
  </si>
  <si>
    <t>Low</t>
  </si>
  <si>
    <t>Mid-range</t>
  </si>
  <si>
    <t>High</t>
  </si>
  <si>
    <t>Tonnes</t>
  </si>
  <si>
    <t>Recycling credit per tonne (£)</t>
  </si>
  <si>
    <t>Net cost of home composting</t>
  </si>
  <si>
    <t>Cost per tonne recycled</t>
  </si>
  <si>
    <t>Glass Collection Vehicle</t>
  </si>
  <si>
    <t>Capital Charge</t>
  </si>
  <si>
    <t>Cost per vehicle (£)</t>
  </si>
  <si>
    <t>Life of vehicle (Years)</t>
  </si>
  <si>
    <t>Hourly rate</t>
  </si>
  <si>
    <t>No of weeks per year</t>
  </si>
  <si>
    <t>No of hours per week</t>
  </si>
  <si>
    <t>Annual cost</t>
  </si>
  <si>
    <t>Pay</t>
  </si>
  <si>
    <t>NI</t>
  </si>
  <si>
    <t>Superann</t>
  </si>
  <si>
    <t>National Insurance</t>
  </si>
  <si>
    <t>No of sites</t>
  </si>
  <si>
    <t>No of bins per site</t>
  </si>
  <si>
    <t>Total no of bins</t>
  </si>
  <si>
    <t>Total cost (£)</t>
  </si>
  <si>
    <t>Running cost per vehicle</t>
  </si>
  <si>
    <t>Total Cost</t>
  </si>
  <si>
    <t>No of vehicles</t>
  </si>
  <si>
    <t>Running Costs</t>
  </si>
  <si>
    <t>Total employee cost</t>
  </si>
  <si>
    <t>Employee Costs</t>
  </si>
  <si>
    <t>No of employees</t>
  </si>
  <si>
    <t>Transport Costs</t>
  </si>
  <si>
    <t>Contractor cost per tonne (£)</t>
  </si>
  <si>
    <t>Total Capital Charge</t>
  </si>
  <si>
    <t>Storage (£)</t>
  </si>
  <si>
    <t>Transport to purchaser</t>
  </si>
  <si>
    <t>Supplies &amp; Services</t>
  </si>
  <si>
    <t>Income</t>
  </si>
  <si>
    <t>Price per tonne</t>
  </si>
  <si>
    <t>Clear</t>
  </si>
  <si>
    <t>Green</t>
  </si>
  <si>
    <t>Brown</t>
  </si>
  <si>
    <t>Estimated quantity</t>
  </si>
  <si>
    <t>Estimated quantity (tonnes)</t>
  </si>
  <si>
    <t>Total income</t>
  </si>
  <si>
    <t>Total recycling credit (£)</t>
  </si>
  <si>
    <t>Suumary</t>
  </si>
  <si>
    <t>Expenditure</t>
  </si>
  <si>
    <t>Supplies &amp; services</t>
  </si>
  <si>
    <t>Transport</t>
  </si>
  <si>
    <t>Employees</t>
  </si>
  <si>
    <t>Capital Charges</t>
  </si>
  <si>
    <t>Total expenditure</t>
  </si>
  <si>
    <t>Supplies &amp; Services Total</t>
  </si>
  <si>
    <t>Sale of glass</t>
  </si>
  <si>
    <t>Total</t>
  </si>
  <si>
    <t>Recycling credit</t>
  </si>
  <si>
    <t>Net expenditure</t>
  </si>
  <si>
    <t>Sensitivity analysis</t>
  </si>
  <si>
    <t>Estimated</t>
  </si>
  <si>
    <t>Income (Price per tonne (£))</t>
  </si>
  <si>
    <t>Revised net expenditure</t>
  </si>
  <si>
    <t>1% variation</t>
  </si>
  <si>
    <t>Total effect of 1% variation</t>
  </si>
  <si>
    <t>Change in cost per tonne recycled</t>
  </si>
  <si>
    <t>Possible scenarios</t>
  </si>
  <si>
    <t>Change in price</t>
  </si>
  <si>
    <t>Change in income</t>
  </si>
  <si>
    <t>Revised cost per tonne</t>
  </si>
  <si>
    <t>Split of glass</t>
  </si>
  <si>
    <t>Probability</t>
  </si>
  <si>
    <t>Cost of collection skips</t>
  </si>
  <si>
    <t>No of skips per site</t>
  </si>
  <si>
    <t>Total no of skips</t>
  </si>
  <si>
    <t>Cost per skip (£)</t>
  </si>
  <si>
    <t>Total cost of skips (£)</t>
  </si>
  <si>
    <t>Life of skip (Years)</t>
  </si>
  <si>
    <t>Annual cost (£)</t>
  </si>
  <si>
    <t>Cost per asset (£)</t>
  </si>
  <si>
    <t>Collection skips</t>
  </si>
  <si>
    <t>Total depreciation</t>
  </si>
  <si>
    <t>Total interest</t>
  </si>
  <si>
    <t>Vehicles</t>
  </si>
  <si>
    <t>Hourly rate (£)</t>
  </si>
  <si>
    <t>Appendix C3</t>
  </si>
  <si>
    <t>Appendix C5</t>
  </si>
  <si>
    <t>Cost of contract</t>
  </si>
  <si>
    <t>Net cost</t>
  </si>
  <si>
    <t>Depreciation (£)</t>
  </si>
  <si>
    <t>Interest (At mid-point) (£)</t>
  </si>
  <si>
    <t>Capital charge per asset (£)</t>
  </si>
  <si>
    <t>Effect of a 10% reduction in amount of glass collected</t>
  </si>
  <si>
    <t>Revised amount collected</t>
  </si>
  <si>
    <t>Change in costs (transport)</t>
  </si>
  <si>
    <t>Cost per tonne (£)</t>
  </si>
  <si>
    <t>Reduction in cost (£)</t>
  </si>
  <si>
    <t>Change in recycling credits</t>
  </si>
  <si>
    <t>Reduction in credits (£)</t>
  </si>
  <si>
    <t>Change in net cost (£)</t>
  </si>
  <si>
    <t>Change in cost per tonne</t>
  </si>
  <si>
    <t>Revised net cost (£)</t>
  </si>
  <si>
    <t>Change in cost per tonne (£)</t>
  </si>
  <si>
    <t>Revised cost per tonne (£)</t>
  </si>
  <si>
    <t>Reduction in collections of:</t>
  </si>
  <si>
    <t>Current estimate of amount to be collected</t>
  </si>
  <si>
    <t>Glass Collection</t>
  </si>
  <si>
    <t>Fixed costs</t>
  </si>
  <si>
    <t>Annual running cost of vehicle (£)</t>
  </si>
  <si>
    <t>Years</t>
  </si>
  <si>
    <t>Expected Life</t>
  </si>
  <si>
    <t>Worst case</t>
  </si>
  <si>
    <t>Best case</t>
  </si>
  <si>
    <t>Estimated volume of domestic waste 2004/05 (tonnes)</t>
  </si>
  <si>
    <t>Home composting</t>
  </si>
  <si>
    <t>Kerbside collection</t>
  </si>
  <si>
    <t>Amount of domestic waste recycled</t>
  </si>
  <si>
    <t>Mid-point</t>
  </si>
  <si>
    <t>Cost per tonne</t>
  </si>
  <si>
    <t>Difference between best and worst case</t>
  </si>
  <si>
    <t>Yield (tonnes)</t>
  </si>
  <si>
    <t>x</t>
  </si>
  <si>
    <t>y</t>
  </si>
  <si>
    <t>x2</t>
  </si>
  <si>
    <t>y2</t>
  </si>
  <si>
    <t>xy</t>
  </si>
  <si>
    <t>ye</t>
  </si>
  <si>
    <t>ye-Y</t>
  </si>
  <si>
    <t>(ye-Y)2</t>
  </si>
  <si>
    <t>y-Y</t>
  </si>
  <si>
    <t>(y-Y)2</t>
  </si>
  <si>
    <t>n</t>
  </si>
  <si>
    <t>=</t>
  </si>
  <si>
    <t>r2</t>
  </si>
  <si>
    <t>r</t>
  </si>
  <si>
    <t>n£xy - £x£y</t>
  </si>
  <si>
    <t>b</t>
  </si>
  <si>
    <t>n£x2 - (£x)2</t>
  </si>
  <si>
    <t>a</t>
  </si>
  <si>
    <t>£y-b£x/n</t>
  </si>
  <si>
    <t xml:space="preserve">y </t>
  </si>
  <si>
    <t>a + bx</t>
  </si>
  <si>
    <t>Y</t>
  </si>
  <si>
    <t>Pop'n (ks)</t>
  </si>
  <si>
    <t>EPA target</t>
  </si>
  <si>
    <t>nΣxy</t>
  </si>
  <si>
    <t>ΣxΣy</t>
  </si>
  <si>
    <t>¬nΣx2 - (Σx)2</t>
  </si>
  <si>
    <t>¬nΣy2 - (Σy)2</t>
  </si>
  <si>
    <t>Σx</t>
  </si>
  <si>
    <t>Σy</t>
  </si>
  <si>
    <t>Σx2</t>
  </si>
  <si>
    <t>Σxy</t>
  </si>
  <si>
    <t>Σye</t>
  </si>
  <si>
    <t>Σye-Y</t>
  </si>
  <si>
    <t>Σy-Y</t>
  </si>
  <si>
    <t>Σ(y-Y)2</t>
  </si>
  <si>
    <t>Σ(ye-Y)2</t>
  </si>
  <si>
    <t>Predicted quantity of waste recycled (tonnes)</t>
  </si>
  <si>
    <r>
      <t>Σy</t>
    </r>
    <r>
      <rPr>
        <vertAlign val="superscript"/>
        <sz val="10"/>
        <rFont val="Arial"/>
        <family val="2"/>
      </rPr>
      <t>2</t>
    </r>
  </si>
  <si>
    <t>= Predicted amount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</si>
  <si>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the coefficient of determination is over 0.87, suggesting</t>
    </r>
  </si>
  <si>
    <t xml:space="preserve"> that 87% of variations in amounts collected are the result of</t>
  </si>
  <si>
    <t xml:space="preserve"> variations in population size.</t>
  </si>
  <si>
    <t>r, the coefficient of correlation, is over 0.93, indicating a strong link between population size and the amount of waste collected.   It is reasonable to</t>
  </si>
  <si>
    <t>assume that this reflects a causal relationship.</t>
  </si>
  <si>
    <t>Target percentage</t>
  </si>
  <si>
    <t>Target for recycling (Tonnes)</t>
  </si>
  <si>
    <t>Page</t>
  </si>
  <si>
    <t>Glass recycling</t>
  </si>
  <si>
    <t>A</t>
  </si>
  <si>
    <t>B</t>
  </si>
  <si>
    <t>C</t>
  </si>
  <si>
    <t>A x B x C</t>
  </si>
  <si>
    <t>Dwellings</t>
  </si>
  <si>
    <t>Loss of grant for every tonne under target</t>
  </si>
  <si>
    <t>Maximum amount that could be lost</t>
  </si>
  <si>
    <t>Worst</t>
  </si>
  <si>
    <t>Best</t>
  </si>
  <si>
    <t>Price</t>
  </si>
  <si>
    <t xml:space="preserve">            £</t>
  </si>
  <si>
    <t>Amount of waste collected by Wheelingham (Tonnes)</t>
  </si>
  <si>
    <t>-</t>
  </si>
  <si>
    <t>D</t>
  </si>
  <si>
    <t>E</t>
  </si>
  <si>
    <t>F</t>
  </si>
  <si>
    <t>G</t>
  </si>
  <si>
    <t>H</t>
  </si>
  <si>
    <t>I</t>
  </si>
  <si>
    <t xml:space="preserve">   Employees</t>
  </si>
  <si>
    <t xml:space="preserve">   Income</t>
  </si>
  <si>
    <t>APPENDIX 3A</t>
  </si>
  <si>
    <t>QUESTION 3</t>
  </si>
  <si>
    <t>1.  EPA Recycling Target</t>
  </si>
  <si>
    <t>APPENDIX 3B</t>
  </si>
  <si>
    <t>1.  Home Composting</t>
  </si>
  <si>
    <t>Volume</t>
  </si>
  <si>
    <t xml:space="preserve">   Take-up</t>
  </si>
  <si>
    <t xml:space="preserve">   No of dwellings</t>
  </si>
  <si>
    <t xml:space="preserve">   Take-up for home composters</t>
  </si>
  <si>
    <t xml:space="preserve">   Waste per dwelling (tonnes)</t>
  </si>
  <si>
    <t xml:space="preserve">    Percentage likely to be composted</t>
  </si>
  <si>
    <t xml:space="preserve">   Weight of material composted (tonnes)</t>
  </si>
  <si>
    <t>Cost/Savings</t>
  </si>
  <si>
    <t xml:space="preserve">   Recycling credit per tonne (£)</t>
  </si>
  <si>
    <t xml:space="preserve">   Estimated total recycling credit  (£)</t>
  </si>
  <si>
    <t xml:space="preserve">   Costs</t>
  </si>
  <si>
    <t>Net Cost (Saving)</t>
  </si>
  <si>
    <t>1.  Glass Recycling</t>
  </si>
  <si>
    <t xml:space="preserve">   Current price of glass (£)</t>
  </si>
  <si>
    <t xml:space="preserve">Mid </t>
  </si>
  <si>
    <t>Mid</t>
  </si>
  <si>
    <t>-5%</t>
  </si>
  <si>
    <t>+5%</t>
  </si>
  <si>
    <t xml:space="preserve">   Estimated weight of glass recycled (Tonnes)</t>
  </si>
  <si>
    <t xml:space="preserve">   Recycling credit at £29 per tonne</t>
  </si>
  <si>
    <t xml:space="preserve">   Income from sale of glass</t>
  </si>
  <si>
    <t xml:space="preserve">   Wages per employee</t>
  </si>
  <si>
    <t xml:space="preserve">   No of employees</t>
  </si>
  <si>
    <t xml:space="preserve">   Wages</t>
  </si>
  <si>
    <t xml:space="preserve">   NICs @ 9%</t>
  </si>
  <si>
    <t xml:space="preserve">   Pension contributions @ 15%</t>
  </si>
  <si>
    <t xml:space="preserve">   Charge for use of pool vehicle</t>
  </si>
  <si>
    <t xml:space="preserve">   Transport to purchaser @ £30 / tonne</t>
  </si>
  <si>
    <t xml:space="preserve">   Storage</t>
  </si>
  <si>
    <t xml:space="preserve">   Expenditure</t>
  </si>
  <si>
    <t xml:space="preserve">Change in </t>
  </si>
  <si>
    <t>price</t>
  </si>
  <si>
    <t>Revised</t>
  </si>
  <si>
    <t>APPENDIX 3C</t>
  </si>
  <si>
    <t>APPENDIX 3D</t>
  </si>
  <si>
    <t>Data Given</t>
  </si>
  <si>
    <t xml:space="preserve">   Population (n)</t>
  </si>
  <si>
    <t xml:space="preserve">   Sum (Σxd, Σxp &amp; Σy)</t>
  </si>
  <si>
    <r>
      <t xml:space="preserve">   Sum (Σxdy &amp; Σxpy</t>
    </r>
    <r>
      <rPr>
        <sz val="10"/>
        <rFont val="Times New Roman"/>
        <family val="1"/>
      </rPr>
      <t>)</t>
    </r>
  </si>
  <si>
    <t>Correlation Coefficients (using CIPFA formula)</t>
  </si>
  <si>
    <t xml:space="preserve">   Σx x Σy</t>
  </si>
  <si>
    <t>(xd)</t>
  </si>
  <si>
    <t>(xp)</t>
  </si>
  <si>
    <t>(y)</t>
  </si>
  <si>
    <t>Waste</t>
  </si>
  <si>
    <t xml:space="preserve">   n x Σxy</t>
  </si>
  <si>
    <t xml:space="preserve">   Square Root</t>
  </si>
  <si>
    <t>R =</t>
  </si>
  <si>
    <t>J</t>
  </si>
  <si>
    <t>K</t>
  </si>
  <si>
    <t>L</t>
  </si>
  <si>
    <t xml:space="preserve">   R =</t>
  </si>
  <si>
    <t>2.  Regression Line</t>
  </si>
  <si>
    <t>b =</t>
  </si>
  <si>
    <t>a =</t>
  </si>
  <si>
    <t xml:space="preserve">   A - B</t>
  </si>
  <si>
    <t xml:space="preserve">   D - E</t>
  </si>
  <si>
    <t xml:space="preserve">   H - I</t>
  </si>
  <si>
    <t>C / L</t>
  </si>
  <si>
    <r>
      <t>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b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x</t>
    </r>
  </si>
  <si>
    <t xml:space="preserve">   b = (A - B / D - E)</t>
  </si>
  <si>
    <t>S</t>
  </si>
  <si>
    <t>T</t>
  </si>
  <si>
    <t xml:space="preserve">   y = a + bx</t>
  </si>
  <si>
    <t>U</t>
  </si>
  <si>
    <t>V</t>
  </si>
  <si>
    <t xml:space="preserve">   a = T - (U x b)</t>
  </si>
  <si>
    <t xml:space="preserve">   y = V + (S * x), where x = 94.5 </t>
  </si>
  <si>
    <t>(tonnes 000's)</t>
  </si>
  <si>
    <t>4.  Kerbside Collection</t>
  </si>
  <si>
    <t>APPENDIX 3E</t>
  </si>
  <si>
    <t>Affordability (Net costs)</t>
  </si>
  <si>
    <t>Waste Recycled</t>
  </si>
  <si>
    <t>Net Cost</t>
  </si>
  <si>
    <r>
      <t xml:space="preserve">   Sum (Σxd², Σxp² &amp; Σy²</t>
    </r>
    <r>
      <rPr>
        <sz val="10"/>
        <rFont val="Times New Roman"/>
        <family val="1"/>
      </rPr>
      <t>)</t>
    </r>
  </si>
  <si>
    <t xml:space="preserve">   (Σx)²</t>
  </si>
  <si>
    <t xml:space="preserve">   n x Σx²</t>
  </si>
  <si>
    <t xml:space="preserve">   n x Σy²</t>
  </si>
  <si>
    <t xml:space="preserve">   (Σy)²</t>
  </si>
  <si>
    <r>
      <t xml:space="preserve">   nΣx²-(Σx)²</t>
    </r>
    <r>
      <rPr>
        <vertAlign val="superscript"/>
        <sz val="10"/>
        <rFont val="Times New Roman"/>
        <family val="1"/>
      </rPr>
      <t xml:space="preserve"> </t>
    </r>
  </si>
  <si>
    <t>(ii)</t>
  </si>
  <si>
    <t xml:space="preserve">   Nos of households taking up composters</t>
  </si>
  <si>
    <t>(iv)</t>
  </si>
  <si>
    <t>W</t>
  </si>
  <si>
    <t>X</t>
  </si>
  <si>
    <t>Z</t>
  </si>
  <si>
    <t>3.  Projection (Population 94,500)</t>
  </si>
  <si>
    <r>
      <t xml:space="preserve">   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(X / W)</t>
    </r>
  </si>
  <si>
    <r>
      <t xml:space="preserve">   x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(X / W)</t>
    </r>
  </si>
  <si>
    <t>Appx 3D</t>
  </si>
  <si>
    <t>Appx 3B</t>
  </si>
  <si>
    <t>Appx 3C</t>
  </si>
  <si>
    <t xml:space="preserve">   Expected Weighted Price per tonne</t>
  </si>
  <si>
    <t>Expected price per tonne</t>
  </si>
  <si>
    <t xml:space="preserve">   Base of 1,200 tonnes</t>
  </si>
  <si>
    <t>1.  Correlation - Kerbside Collection</t>
  </si>
  <si>
    <r>
      <t>√{nΣx²-(Σx)²}</t>
    </r>
    <r>
      <rPr>
        <vertAlign val="superscript"/>
        <sz val="10"/>
        <rFont val="Times New Roman"/>
        <family val="1"/>
      </rPr>
      <t xml:space="preserve">  √{nΣy²-(Σy)²} </t>
    </r>
  </si>
  <si>
    <t xml:space="preserve">   nΣxy-(Σx x Σy)</t>
  </si>
  <si>
    <t xml:space="preserve">   G x K</t>
  </si>
  <si>
    <t xml:space="preserve">   R² = </t>
  </si>
  <si>
    <t>NOTES</t>
  </si>
  <si>
    <t>1.  R - Population at .91 is the better predictor.</t>
  </si>
  <si>
    <t>2.  R² - 86% of recyclable materials collected can be explained by the level of population.</t>
  </si>
  <si>
    <t xml:space="preserve">   nΣxy-Σx x Σy</t>
  </si>
  <si>
    <r>
      <t>where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y</t>
    </r>
    <r>
      <rPr>
        <b/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Σy/n &amp; </t>
    </r>
    <r>
      <rPr>
        <i/>
        <sz val="10"/>
        <rFont val="Times New Roman"/>
        <family val="1"/>
      </rPr>
      <t>x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= Σx/n</t>
    </r>
  </si>
  <si>
    <t>Impact of recycling credits</t>
  </si>
  <si>
    <t>1.  Summary of Options</t>
  </si>
  <si>
    <t>2.  Summary - Impact of Recommendations (Mid)</t>
  </si>
  <si>
    <t>Current target</t>
  </si>
  <si>
    <t>2 marks</t>
  </si>
  <si>
    <t>1½ marks</t>
  </si>
  <si>
    <t>1 mark</t>
  </si>
  <si>
    <t>2½ marks</t>
  </si>
  <si>
    <t>4 marks</t>
  </si>
  <si>
    <t>3 marks</t>
  </si>
  <si>
    <t>1 marks</t>
  </si>
  <si>
    <t xml:space="preserve">(14 x 340.24)-(307 x 15.26) </t>
  </si>
  <si>
    <r>
      <t>√{(14 x 6,891)-307²} x √{(14 x 17.03)-15.26²}</t>
    </r>
    <r>
      <rPr>
        <vertAlign val="superscript"/>
        <sz val="10"/>
        <rFont val="Times New Roman"/>
        <family val="1"/>
      </rPr>
      <t xml:space="preserve"> </t>
    </r>
  </si>
  <si>
    <r>
      <t>√{96,474-94,249} x √{238.42-232.87}</t>
    </r>
    <r>
      <rPr>
        <vertAlign val="superscript"/>
        <sz val="10"/>
        <rFont val="Times New Roman"/>
        <family val="1"/>
      </rPr>
      <t xml:space="preserve"> </t>
    </r>
  </si>
  <si>
    <r>
      <t>√2,225 x √5.55</t>
    </r>
    <r>
      <rPr>
        <vertAlign val="superscript"/>
        <sz val="10"/>
        <rFont val="Times New Roman"/>
        <family val="1"/>
      </rPr>
      <t xml:space="preserve"> </t>
    </r>
  </si>
  <si>
    <r>
      <t>47.17 x 2.34</t>
    </r>
    <r>
      <rPr>
        <vertAlign val="superscript"/>
        <sz val="10"/>
        <rFont val="Times New Roman"/>
        <family val="1"/>
      </rPr>
      <t xml:space="preserve"> </t>
    </r>
  </si>
  <si>
    <t xml:space="preserve">(14 x 1,451.29)-(1,295 x 15.26) </t>
  </si>
  <si>
    <r>
      <t>√{(14 x 124,411)-1,295²} x √{(14 x 17.03)-15.26²}</t>
    </r>
    <r>
      <rPr>
        <vertAlign val="superscript"/>
        <sz val="10"/>
        <rFont val="Times New Roman"/>
        <family val="1"/>
      </rPr>
      <t xml:space="preserve"> </t>
    </r>
  </si>
  <si>
    <t>4,763.36-4,684.82</t>
  </si>
  <si>
    <t>20,318.06-19,761.70</t>
  </si>
  <si>
    <r>
      <t>√{1,741,754-1,677,025} x √{238.42-232.87}</t>
    </r>
    <r>
      <rPr>
        <vertAlign val="superscript"/>
        <sz val="10"/>
        <rFont val="Times New Roman"/>
        <family val="1"/>
      </rPr>
      <t xml:space="preserve"> </t>
    </r>
  </si>
  <si>
    <r>
      <t>√64,729 x √5.55</t>
    </r>
    <r>
      <rPr>
        <vertAlign val="superscript"/>
        <sz val="10"/>
        <rFont val="Times New Roman"/>
        <family val="1"/>
      </rPr>
      <t xml:space="preserve"> </t>
    </r>
  </si>
  <si>
    <t>254.42 x 2.34</t>
  </si>
  <si>
    <t xml:space="preserve">      -</t>
  </si>
  <si>
    <t xml:space="preserve">(14 x 1,451.29) - (1,295 x 15.26) </t>
  </si>
  <si>
    <t>(14 x 124,411) - (1,295)²</t>
  </si>
  <si>
    <t>(20,378.06 - 19,761.70)</t>
  </si>
  <si>
    <t>(1,741,754 - 1,677,025)</t>
  </si>
  <si>
    <t>0.0085952 x</t>
  </si>
  <si>
    <t>y =</t>
  </si>
  <si>
    <t>+</t>
  </si>
  <si>
    <t>(0.0085952 x 94.5)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</si>
</sst>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_;\(#,##0.00\)_ ;&quot;-&quot;____;"/>
    <numFmt numFmtId="165" formatCode="#,##0.00__;\(#,##0.00\)_ ;&quot;-&quot;____;_-@_-"/>
    <numFmt numFmtId="166" formatCode="#,##0.0__;\(#,##0.0\)_ ;&quot;-&quot;____;_-@_-"/>
    <numFmt numFmtId="167" formatCode="#,##0__;\(#,##0\)_ ;&quot;-&quot;____;_-@_-"/>
    <numFmt numFmtId="168" formatCode="0.0%"/>
    <numFmt numFmtId="169" formatCode="#,##0.000__;\(#,##0.000\)_ ;&quot;-&quot;____;_-@_-"/>
    <numFmt numFmtId="170" formatCode="0.000%"/>
    <numFmt numFmtId="171" formatCode="0.0000%"/>
    <numFmt numFmtId="172" formatCode="#,##0.0000__;\(#,##0.0000\)_ ;&quot;-&quot;____;_-@_-"/>
    <numFmt numFmtId="173" formatCode="#,##0.00000__;\(#,##0.00000\)_ ;&quot;-&quot;____;_-@_-"/>
    <numFmt numFmtId="174" formatCode="#,##0.000000__;\(#,##0.000000\)_ ;&quot;-&quot;____;_-@_-"/>
    <numFmt numFmtId="175" formatCode="\+0%"/>
    <numFmt numFmtId="176" formatCode="\-0%"/>
    <numFmt numFmtId="177" formatCode="&quot;£&quot;#,##0;\-\(&quot;£&quot;#,##0\)"/>
    <numFmt numFmtId="178" formatCode="&quot;£&quot;#,##0;\(&quot;£&quot;#,##0\)"/>
    <numFmt numFmtId="179" formatCode="#,##0;\(#,##0\)\ ;&quot;-&quot;____;_-@_-"/>
    <numFmt numFmtId="180" formatCode="&quot;£&quot;#,##0__;[Red]\-&quot;£&quot;#,##0__"/>
    <numFmt numFmtId="181" formatCode="0.000"/>
    <numFmt numFmtId="182" formatCode="0.0000"/>
    <numFmt numFmtId="183" formatCode="0.000000"/>
    <numFmt numFmtId="184" formatCode="0.00000"/>
    <numFmt numFmtId="185" formatCode="0.000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 quotePrefix="1">
      <alignment horizontal="center"/>
    </xf>
    <xf numFmtId="9" fontId="0" fillId="0" borderId="0" xfId="2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15" applyNumberFormat="1" applyFont="1" applyAlignment="1" quotePrefix="1">
      <alignment/>
    </xf>
    <xf numFmtId="168" fontId="0" fillId="0" borderId="0" xfId="21" applyNumberFormat="1" applyAlignment="1">
      <alignment/>
    </xf>
    <xf numFmtId="165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9" fontId="0" fillId="0" borderId="0" xfId="21" applyAlignment="1">
      <alignment horizontal="center"/>
    </xf>
    <xf numFmtId="10" fontId="0" fillId="0" borderId="0" xfId="21" applyNumberFormat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/>
    </xf>
    <xf numFmtId="165" fontId="1" fillId="0" borderId="0" xfId="0" applyNumberFormat="1" applyFont="1" applyFill="1" applyAlignment="1">
      <alignment/>
    </xf>
    <xf numFmtId="167" fontId="1" fillId="0" borderId="1" xfId="0" applyNumberFormat="1" applyFont="1" applyFill="1" applyBorder="1" applyAlignment="1">
      <alignment/>
    </xf>
    <xf numFmtId="9" fontId="0" fillId="0" borderId="0" xfId="21" applyFill="1" applyAlignment="1">
      <alignment horizontal="center"/>
    </xf>
    <xf numFmtId="9" fontId="0" fillId="0" borderId="0" xfId="21" applyNumberFormat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9" fontId="6" fillId="0" borderId="0" xfId="21" applyFont="1" applyFill="1" applyAlignment="1">
      <alignment/>
    </xf>
    <xf numFmtId="167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67" fontId="7" fillId="0" borderId="1" xfId="0" applyNumberFormat="1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/>
    </xf>
    <xf numFmtId="9" fontId="8" fillId="0" borderId="0" xfId="21" applyFont="1" applyFill="1" applyAlignment="1">
      <alignment/>
    </xf>
    <xf numFmtId="165" fontId="1" fillId="0" borderId="0" xfId="0" applyNumberFormat="1" applyFont="1" applyAlignment="1" quotePrefix="1">
      <alignment/>
    </xf>
    <xf numFmtId="173" fontId="0" fillId="0" borderId="0" xfId="0" applyNumberFormat="1" applyAlignment="1">
      <alignment/>
    </xf>
    <xf numFmtId="167" fontId="1" fillId="0" borderId="0" xfId="0" applyNumberFormat="1" applyFont="1" applyAlignment="1" quotePrefix="1">
      <alignment/>
    </xf>
    <xf numFmtId="165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165" fontId="0" fillId="0" borderId="0" xfId="15" applyNumberFormat="1" applyFont="1" applyAlignment="1">
      <alignment horizontal="center" vertical="top" wrapText="1"/>
    </xf>
    <xf numFmtId="165" fontId="8" fillId="0" borderId="0" xfId="15" applyNumberFormat="1" applyFont="1" applyFill="1" applyAlignment="1" quotePrefix="1">
      <alignment/>
    </xf>
    <xf numFmtId="165" fontId="10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" vertical="top" wrapText="1"/>
    </xf>
    <xf numFmtId="9" fontId="8" fillId="0" borderId="0" xfId="21" applyFont="1" applyFill="1" applyAlignment="1">
      <alignment horizontal="center"/>
    </xf>
    <xf numFmtId="9" fontId="10" fillId="0" borderId="0" xfId="2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 wrapText="1"/>
    </xf>
    <xf numFmtId="167" fontId="0" fillId="0" borderId="0" xfId="0" applyNumberForma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 wrapText="1"/>
    </xf>
    <xf numFmtId="6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/>
    </xf>
    <xf numFmtId="165" fontId="11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65" fontId="13" fillId="0" borderId="0" xfId="15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/>
    </xf>
    <xf numFmtId="165" fontId="15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181" fontId="8" fillId="0" borderId="0" xfId="0" applyNumberFormat="1" applyFont="1" applyFill="1" applyAlignment="1">
      <alignment horizontal="right"/>
    </xf>
    <xf numFmtId="181" fontId="10" fillId="0" borderId="2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9" fontId="8" fillId="0" borderId="0" xfId="21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183" fontId="8" fillId="0" borderId="0" xfId="0" applyNumberFormat="1" applyFont="1" applyFill="1" applyAlignment="1">
      <alignment/>
    </xf>
    <xf numFmtId="184" fontId="10" fillId="0" borderId="3" xfId="0" applyNumberFormat="1" applyFont="1" applyFill="1" applyBorder="1" applyAlignment="1">
      <alignment/>
    </xf>
    <xf numFmtId="165" fontId="8" fillId="0" borderId="0" xfId="0" applyNumberFormat="1" applyFont="1" applyFill="1" applyAlignment="1" quotePrefix="1">
      <alignment horizontal="right"/>
    </xf>
    <xf numFmtId="167" fontId="8" fillId="0" borderId="0" xfId="0" applyNumberFormat="1" applyFont="1" applyFill="1" applyAlignment="1">
      <alignment horizontal="right"/>
    </xf>
    <xf numFmtId="9" fontId="8" fillId="0" borderId="0" xfId="21" applyFont="1" applyFill="1" applyAlignment="1">
      <alignment horizontal="right"/>
    </xf>
    <xf numFmtId="167" fontId="8" fillId="0" borderId="0" xfId="0" applyNumberFormat="1" applyFont="1" applyFill="1" applyAlignment="1" quotePrefix="1">
      <alignment horizontal="right"/>
    </xf>
    <xf numFmtId="167" fontId="10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 quotePrefix="1">
      <alignment/>
    </xf>
    <xf numFmtId="167" fontId="8" fillId="0" borderId="0" xfId="0" applyNumberFormat="1" applyFont="1" applyFill="1" applyAlignment="1">
      <alignment horizontal="center"/>
    </xf>
    <xf numFmtId="183" fontId="10" fillId="0" borderId="3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 vertical="top" wrapText="1"/>
    </xf>
    <xf numFmtId="167" fontId="10" fillId="0" borderId="4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167" fontId="10" fillId="0" borderId="4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" vertical="top" wrapText="1"/>
    </xf>
    <xf numFmtId="167" fontId="0" fillId="0" borderId="0" xfId="0" applyNumberFormat="1" applyFont="1" applyFill="1" applyAlignment="1">
      <alignment horizontal="center"/>
    </xf>
    <xf numFmtId="167" fontId="8" fillId="0" borderId="4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7" fontId="8" fillId="0" borderId="5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quotePrefix="1">
      <alignment horizontal="center"/>
    </xf>
    <xf numFmtId="165" fontId="17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165" fontId="8" fillId="0" borderId="3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84" fontId="10" fillId="0" borderId="0" xfId="0" applyNumberFormat="1" applyFont="1" applyFill="1" applyBorder="1" applyAlignment="1">
      <alignment/>
    </xf>
    <xf numFmtId="165" fontId="8" fillId="0" borderId="3" xfId="0" applyNumberFormat="1" applyFont="1" applyFill="1" applyBorder="1" applyAlignment="1" quotePrefix="1">
      <alignment horizontal="center"/>
    </xf>
    <xf numFmtId="165" fontId="8" fillId="0" borderId="1" xfId="0" applyNumberFormat="1" applyFont="1" applyFill="1" applyBorder="1" applyAlignment="1" quotePrefix="1">
      <alignment horizontal="center"/>
    </xf>
    <xf numFmtId="165" fontId="8" fillId="0" borderId="0" xfId="0" applyNumberFormat="1" applyFont="1" applyFill="1" applyAlignment="1" quotePrefix="1">
      <alignment horizontal="center"/>
    </xf>
    <xf numFmtId="185" fontId="8" fillId="0" borderId="0" xfId="0" applyNumberFormat="1" applyFont="1" applyFill="1" applyAlignment="1">
      <alignment/>
    </xf>
    <xf numFmtId="185" fontId="10" fillId="0" borderId="3" xfId="0" applyNumberFormat="1" applyFont="1" applyFill="1" applyBorder="1" applyAlignment="1">
      <alignment/>
    </xf>
    <xf numFmtId="184" fontId="10" fillId="0" borderId="0" xfId="0" applyNumberFormat="1" applyFont="1" applyFill="1" applyBorder="1" applyAlignment="1" quotePrefix="1">
      <alignment horizontal="center"/>
    </xf>
    <xf numFmtId="185" fontId="8" fillId="0" borderId="0" xfId="0" applyNumberFormat="1" applyFont="1" applyFill="1" applyAlignment="1">
      <alignment horizontal="left"/>
    </xf>
    <xf numFmtId="1" fontId="8" fillId="0" borderId="3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85725</xdr:rowOff>
    </xdr:from>
    <xdr:to>
      <xdr:col>3</xdr:col>
      <xdr:colOff>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685925" y="48006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33</xdr:row>
      <xdr:rowOff>66675</xdr:rowOff>
    </xdr:from>
    <xdr:to>
      <xdr:col>11</xdr:col>
      <xdr:colOff>342900</xdr:colOff>
      <xdr:row>39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0" y="561022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Appendix C3</a:t>
          </a:r>
        </a:p>
      </xdr:txBody>
    </xdr:sp>
    <xdr:clientData/>
  </xdr:twoCellAnchor>
  <xdr:twoCellAnchor>
    <xdr:from>
      <xdr:col>11</xdr:col>
      <xdr:colOff>85725</xdr:colOff>
      <xdr:row>0</xdr:row>
      <xdr:rowOff>38100</xdr:rowOff>
    </xdr:from>
    <xdr:to>
      <xdr:col>11</xdr:col>
      <xdr:colOff>371475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96375" y="38100"/>
          <a:ext cx="2857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Kerbside Collection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85725</xdr:rowOff>
    </xdr:from>
    <xdr:to>
      <xdr:col>3</xdr:col>
      <xdr:colOff>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2124075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33</xdr:row>
      <xdr:rowOff>66675</xdr:rowOff>
    </xdr:from>
    <xdr:to>
      <xdr:col>11</xdr:col>
      <xdr:colOff>342900</xdr:colOff>
      <xdr:row>39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72550" y="544830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Appendix C3</a:t>
          </a:r>
        </a:p>
      </xdr:txBody>
    </xdr:sp>
    <xdr:clientData/>
  </xdr:twoCellAnchor>
  <xdr:twoCellAnchor>
    <xdr:from>
      <xdr:col>11</xdr:col>
      <xdr:colOff>85725</xdr:colOff>
      <xdr:row>0</xdr:row>
      <xdr:rowOff>19050</xdr:rowOff>
    </xdr:from>
    <xdr:to>
      <xdr:col>11</xdr:col>
      <xdr:colOff>371475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20175" y="19050"/>
          <a:ext cx="2857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Kerbside Collection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85725</xdr:rowOff>
    </xdr:from>
    <xdr:to>
      <xdr:col>3</xdr:col>
      <xdr:colOff>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685925" y="4800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33</xdr:row>
      <xdr:rowOff>66675</xdr:rowOff>
    </xdr:from>
    <xdr:to>
      <xdr:col>11</xdr:col>
      <xdr:colOff>342900</xdr:colOff>
      <xdr:row>39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34400" y="561022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Appendix C3</a:t>
          </a:r>
        </a:p>
      </xdr:txBody>
    </xdr:sp>
    <xdr:clientData/>
  </xdr:twoCellAnchor>
  <xdr:twoCellAnchor>
    <xdr:from>
      <xdr:col>11</xdr:col>
      <xdr:colOff>85725</xdr:colOff>
      <xdr:row>0</xdr:row>
      <xdr:rowOff>38100</xdr:rowOff>
    </xdr:from>
    <xdr:to>
      <xdr:col>11</xdr:col>
      <xdr:colOff>371475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82025" y="38100"/>
          <a:ext cx="2857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Kerbside Collection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85725</xdr:rowOff>
    </xdr:from>
    <xdr:to>
      <xdr:col>3</xdr:col>
      <xdr:colOff>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685925" y="4800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33</xdr:row>
      <xdr:rowOff>66675</xdr:rowOff>
    </xdr:from>
    <xdr:to>
      <xdr:col>11</xdr:col>
      <xdr:colOff>342900</xdr:colOff>
      <xdr:row>39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34400" y="561022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Appendix C3</a:t>
          </a:r>
        </a:p>
      </xdr:txBody>
    </xdr:sp>
    <xdr:clientData/>
  </xdr:twoCellAnchor>
  <xdr:twoCellAnchor>
    <xdr:from>
      <xdr:col>11</xdr:col>
      <xdr:colOff>85725</xdr:colOff>
      <xdr:row>0</xdr:row>
      <xdr:rowOff>38100</xdr:rowOff>
    </xdr:from>
    <xdr:to>
      <xdr:col>11</xdr:col>
      <xdr:colOff>371475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82025" y="38100"/>
          <a:ext cx="2857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Kerbside Collection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0">
      <selection activeCell="A19" sqref="A19:G46"/>
    </sheetView>
  </sheetViews>
  <sheetFormatPr defaultColWidth="9.140625" defaultRowHeight="12.75"/>
  <cols>
    <col min="1" max="1" width="35.8515625" style="40" customWidth="1"/>
    <col min="2" max="2" width="8.28125" style="40" customWidth="1"/>
    <col min="3" max="3" width="10.140625" style="40" customWidth="1"/>
    <col min="4" max="4" width="10.28125" style="40" customWidth="1"/>
    <col min="5" max="5" width="10.57421875" style="40" customWidth="1"/>
    <col min="6" max="6" width="9.7109375" style="40" customWidth="1"/>
    <col min="7" max="7" width="9.140625" style="40" customWidth="1"/>
    <col min="8" max="8" width="11.7109375" style="40" bestFit="1" customWidth="1"/>
    <col min="9" max="16384" width="9.140625" style="40" customWidth="1"/>
  </cols>
  <sheetData>
    <row r="1" spans="1:6" ht="14.25" customHeight="1">
      <c r="A1" s="119" t="s">
        <v>218</v>
      </c>
      <c r="B1" s="119"/>
      <c r="C1" s="119"/>
      <c r="D1" s="119"/>
      <c r="E1" s="119"/>
      <c r="F1" s="119"/>
    </row>
    <row r="2" spans="1:6" ht="11.25" customHeight="1">
      <c r="A2" s="71"/>
      <c r="B2" s="72"/>
      <c r="C2" s="72"/>
      <c r="D2" s="72"/>
      <c r="E2" s="72"/>
      <c r="F2" s="72"/>
    </row>
    <row r="3" spans="1:6" ht="17.25" customHeight="1">
      <c r="A3" s="73" t="s">
        <v>219</v>
      </c>
      <c r="B3" s="72"/>
      <c r="C3" s="72"/>
      <c r="D3" s="72"/>
      <c r="E3" s="72"/>
      <c r="F3" s="74"/>
    </row>
    <row r="4" spans="1:6" ht="11.25" customHeight="1">
      <c r="A4" s="72"/>
      <c r="B4" s="72"/>
      <c r="C4" s="72"/>
      <c r="D4" s="72"/>
      <c r="E4" s="72"/>
      <c r="F4" s="74"/>
    </row>
    <row r="5" ht="11.25" customHeight="1">
      <c r="F5" s="54"/>
    </row>
    <row r="6" spans="5:6" ht="11.25" customHeight="1">
      <c r="E6" s="54"/>
      <c r="F6" s="61" t="s">
        <v>195</v>
      </c>
    </row>
    <row r="7" ht="11.25" customHeight="1">
      <c r="E7" s="41"/>
    </row>
    <row r="8" spans="1:5" ht="11.25" customHeight="1">
      <c r="A8" s="75" t="s">
        <v>220</v>
      </c>
      <c r="E8" s="41"/>
    </row>
    <row r="9" ht="11.25" customHeight="1">
      <c r="E9" s="41"/>
    </row>
    <row r="10" spans="1:6" ht="11.25" customHeight="1">
      <c r="A10" s="40" t="s">
        <v>208</v>
      </c>
      <c r="E10" s="68">
        <v>17000</v>
      </c>
      <c r="F10" s="60">
        <v>14</v>
      </c>
    </row>
    <row r="11" spans="5:6" ht="11.25" customHeight="1">
      <c r="E11" s="42"/>
      <c r="F11" s="60"/>
    </row>
    <row r="12" spans="1:6" ht="11.25" customHeight="1">
      <c r="A12" s="40" t="s">
        <v>193</v>
      </c>
      <c r="E12" s="43">
        <v>0.1</v>
      </c>
      <c r="F12" s="60" t="s">
        <v>303</v>
      </c>
    </row>
    <row r="13" spans="5:6" ht="11.25" customHeight="1">
      <c r="E13" s="42"/>
      <c r="F13" s="60"/>
    </row>
    <row r="14" spans="1:6" ht="11.25" customHeight="1">
      <c r="A14" s="40" t="s">
        <v>194</v>
      </c>
      <c r="E14" s="68">
        <f>ROUND(E10*E12,0)</f>
        <v>1700</v>
      </c>
      <c r="F14" s="60"/>
    </row>
    <row r="15" spans="1:7" ht="12.75">
      <c r="A15" s="52"/>
      <c r="D15" s="53"/>
      <c r="E15" s="53"/>
      <c r="F15" s="61"/>
      <c r="G15" s="54"/>
    </row>
    <row r="16" spans="1:6" ht="12.75">
      <c r="A16" s="40" t="s">
        <v>202</v>
      </c>
      <c r="B16" s="43"/>
      <c r="E16" s="67">
        <v>150</v>
      </c>
      <c r="F16" s="60" t="s">
        <v>303</v>
      </c>
    </row>
    <row r="17" spans="2:9" ht="12.75">
      <c r="B17" s="43"/>
      <c r="E17" s="42"/>
      <c r="I17" s="60"/>
    </row>
    <row r="18" spans="1:9" ht="12.75">
      <c r="A18" s="40" t="s">
        <v>203</v>
      </c>
      <c r="B18" s="43"/>
      <c r="E18" s="67">
        <f>E14*E16</f>
        <v>255000</v>
      </c>
      <c r="I18" s="60"/>
    </row>
    <row r="19" spans="1:7" ht="15.75">
      <c r="A19" s="119" t="s">
        <v>221</v>
      </c>
      <c r="B19" s="119"/>
      <c r="C19" s="119"/>
      <c r="D19" s="119"/>
      <c r="E19" s="119"/>
      <c r="F19" s="119"/>
      <c r="G19" s="54"/>
    </row>
    <row r="20" spans="1:7" ht="12.75">
      <c r="A20" s="71"/>
      <c r="B20" s="72"/>
      <c r="C20" s="72"/>
      <c r="D20" s="72"/>
      <c r="E20" s="72"/>
      <c r="F20" s="72"/>
      <c r="G20" s="54"/>
    </row>
    <row r="21" spans="1:7" ht="18.75">
      <c r="A21" s="73" t="s">
        <v>219</v>
      </c>
      <c r="B21" s="72"/>
      <c r="C21" s="72"/>
      <c r="D21" s="72"/>
      <c r="E21" s="72"/>
      <c r="F21" s="74"/>
      <c r="G21" s="54"/>
    </row>
    <row r="22" spans="1:7" ht="12.75">
      <c r="A22" s="72"/>
      <c r="B22" s="72"/>
      <c r="C22" s="72"/>
      <c r="D22" s="72"/>
      <c r="E22" s="72"/>
      <c r="F22" s="74"/>
      <c r="G22" s="54"/>
    </row>
    <row r="23" spans="6:7" ht="12.75">
      <c r="F23" s="54"/>
      <c r="G23" s="54"/>
    </row>
    <row r="24" spans="5:7" ht="12.75">
      <c r="E24" s="54"/>
      <c r="F24" s="61" t="s">
        <v>195</v>
      </c>
      <c r="G24" s="54"/>
    </row>
    <row r="25" spans="5:7" ht="12.75">
      <c r="E25" s="41"/>
      <c r="G25" s="54"/>
    </row>
    <row r="26" spans="1:7" ht="12.75">
      <c r="A26" s="76" t="s">
        <v>222</v>
      </c>
      <c r="D26" s="54"/>
      <c r="E26" s="54"/>
      <c r="F26" s="60"/>
      <c r="G26" s="54"/>
    </row>
    <row r="27" spans="3:6" ht="12.75">
      <c r="C27" s="118"/>
      <c r="D27" s="118"/>
      <c r="E27" s="118"/>
      <c r="F27" s="60"/>
    </row>
    <row r="28" spans="1:6" ht="12.75">
      <c r="A28" s="55" t="s">
        <v>223</v>
      </c>
      <c r="C28" s="41"/>
      <c r="D28" s="41"/>
      <c r="E28" s="41"/>
      <c r="F28" s="60"/>
    </row>
    <row r="29" spans="1:6" ht="12.75">
      <c r="A29" s="40" t="s">
        <v>224</v>
      </c>
      <c r="C29" s="91" t="s">
        <v>204</v>
      </c>
      <c r="D29" s="54" t="s">
        <v>237</v>
      </c>
      <c r="E29" s="54" t="s">
        <v>205</v>
      </c>
      <c r="F29" s="60"/>
    </row>
    <row r="30" spans="3:6" ht="12.75">
      <c r="C30" s="91"/>
      <c r="D30" s="54"/>
      <c r="E30" s="54"/>
      <c r="F30" s="60"/>
    </row>
    <row r="31" spans="1:6" ht="12.75">
      <c r="A31" s="40" t="s">
        <v>225</v>
      </c>
      <c r="C31" s="91">
        <f>'Home Composting'!B4</f>
        <v>27000</v>
      </c>
      <c r="D31" s="91">
        <f>C31</f>
        <v>27000</v>
      </c>
      <c r="E31" s="91">
        <f>D31</f>
        <v>27000</v>
      </c>
      <c r="F31" s="60">
        <v>11</v>
      </c>
    </row>
    <row r="32" spans="3:6" ht="12.75">
      <c r="C32" s="92"/>
      <c r="D32" s="92"/>
      <c r="E32" s="92"/>
      <c r="F32" s="60"/>
    </row>
    <row r="33" spans="1:6" ht="12.75">
      <c r="A33" s="40" t="s">
        <v>226</v>
      </c>
      <c r="C33" s="85">
        <f>'Home Composting'!B7</f>
        <v>0.1</v>
      </c>
      <c r="D33" s="85">
        <f>'Home Composting'!C7</f>
        <v>0.15</v>
      </c>
      <c r="E33" s="85">
        <f>'Home Composting'!D7</f>
        <v>0.2</v>
      </c>
      <c r="F33" s="60">
        <v>9</v>
      </c>
    </row>
    <row r="34" spans="3:6" ht="12.75">
      <c r="C34" s="92"/>
      <c r="D34" s="92"/>
      <c r="E34" s="92"/>
      <c r="F34" s="60"/>
    </row>
    <row r="35" spans="1:6" ht="12.75">
      <c r="A35" s="40" t="s">
        <v>304</v>
      </c>
      <c r="B35" s="41" t="s">
        <v>197</v>
      </c>
      <c r="C35" s="91">
        <f>'Home Composting'!B9</f>
        <v>2700</v>
      </c>
      <c r="D35" s="91">
        <f>'Home Composting'!C9</f>
        <v>4050</v>
      </c>
      <c r="E35" s="91">
        <f>'Home Composting'!D9</f>
        <v>5400</v>
      </c>
      <c r="F35" s="60"/>
    </row>
    <row r="36" spans="1:6" ht="12.75">
      <c r="A36" s="40" t="s">
        <v>227</v>
      </c>
      <c r="B36" s="41" t="s">
        <v>198</v>
      </c>
      <c r="C36" s="54">
        <f>'Home Composting'!B28</f>
        <v>0.63</v>
      </c>
      <c r="D36" s="54">
        <f>C36</f>
        <v>0.63</v>
      </c>
      <c r="E36" s="54">
        <f>D36</f>
        <v>0.63</v>
      </c>
      <c r="F36" s="60">
        <v>14</v>
      </c>
    </row>
    <row r="37" spans="1:6" ht="12.75">
      <c r="A37" s="40" t="s">
        <v>228</v>
      </c>
      <c r="B37" s="41" t="s">
        <v>199</v>
      </c>
      <c r="C37" s="92">
        <v>0.18</v>
      </c>
      <c r="D37" s="92">
        <f>C37</f>
        <v>0.18</v>
      </c>
      <c r="E37" s="92">
        <f>D37</f>
        <v>0.18</v>
      </c>
      <c r="F37" s="60">
        <v>15</v>
      </c>
    </row>
    <row r="38" spans="3:6" ht="12.75">
      <c r="C38" s="92"/>
      <c r="D38" s="92"/>
      <c r="E38" s="92"/>
      <c r="F38" s="60"/>
    </row>
    <row r="39" spans="1:6" ht="12.75">
      <c r="A39" s="40" t="s">
        <v>229</v>
      </c>
      <c r="B39" s="40" t="s">
        <v>200</v>
      </c>
      <c r="C39" s="53">
        <f>C35*C36*C37</f>
        <v>306.18</v>
      </c>
      <c r="D39" s="53">
        <f>D35*D36*D37</f>
        <v>459.27</v>
      </c>
      <c r="E39" s="53">
        <f>E35*E36*E37</f>
        <v>612.36</v>
      </c>
      <c r="F39" s="60"/>
    </row>
    <row r="40" spans="3:6" ht="12.75">
      <c r="C40" s="91"/>
      <c r="D40" s="91"/>
      <c r="E40" s="91"/>
      <c r="F40" s="60"/>
    </row>
    <row r="41" spans="1:6" ht="12.75">
      <c r="A41" s="55" t="s">
        <v>230</v>
      </c>
      <c r="C41" s="54" t="s">
        <v>21</v>
      </c>
      <c r="D41" s="54" t="s">
        <v>21</v>
      </c>
      <c r="E41" s="54" t="s">
        <v>21</v>
      </c>
      <c r="F41" s="60"/>
    </row>
    <row r="42" spans="1:6" ht="12.75">
      <c r="A42" s="40" t="s">
        <v>231</v>
      </c>
      <c r="B42" s="55"/>
      <c r="C42" s="91">
        <v>29</v>
      </c>
      <c r="D42" s="91">
        <v>29</v>
      </c>
      <c r="E42" s="91">
        <v>29</v>
      </c>
      <c r="F42" s="60">
        <v>15</v>
      </c>
    </row>
    <row r="43" spans="3:6" ht="12.75">
      <c r="C43" s="91"/>
      <c r="D43" s="91"/>
      <c r="E43" s="91"/>
      <c r="F43" s="60"/>
    </row>
    <row r="44" spans="1:6" ht="12.75">
      <c r="A44" s="40" t="s">
        <v>232</v>
      </c>
      <c r="C44" s="91">
        <f>-$C42*C39</f>
        <v>-8879.22</v>
      </c>
      <c r="D44" s="91">
        <f>-$C42*D39</f>
        <v>-13318.83</v>
      </c>
      <c r="E44" s="91">
        <f>-$C42*E39</f>
        <v>-17758.44</v>
      </c>
      <c r="F44" s="60"/>
    </row>
    <row r="45" spans="1:6" ht="12.75">
      <c r="A45" s="40" t="s">
        <v>233</v>
      </c>
      <c r="C45" s="91">
        <v>0</v>
      </c>
      <c r="D45" s="91">
        <v>0</v>
      </c>
      <c r="E45" s="91">
        <v>0</v>
      </c>
      <c r="F45" s="60"/>
    </row>
    <row r="46" spans="1:7" ht="13.5" thickBot="1">
      <c r="A46" s="69" t="s">
        <v>234</v>
      </c>
      <c r="C46" s="100">
        <f>+C44</f>
        <v>-8879.22</v>
      </c>
      <c r="D46" s="100">
        <f>+D44</f>
        <v>-13318.83</v>
      </c>
      <c r="E46" s="100">
        <f>+E44</f>
        <v>-17758.44</v>
      </c>
      <c r="G46" s="112" t="s">
        <v>332</v>
      </c>
    </row>
    <row r="47" ht="13.5" thickTop="1"/>
  </sheetData>
  <mergeCells count="3">
    <mergeCell ref="C27:E27"/>
    <mergeCell ref="A1:F1"/>
    <mergeCell ref="A19:F19"/>
  </mergeCells>
  <printOptions horizontalCentered="1"/>
  <pageMargins left="0.7480314960629921" right="0.19" top="0.53" bottom="0.52" header="0.5118110236220472" footer="0.5118110236220472"/>
  <pageSetup horizontalDpi="200" verticalDpi="200" orientation="portrait" paperSize="9" r:id="rId1"/>
  <headerFooter alignWithMargins="0">
    <oddFooter>&amp;R
</oddFooter>
  </headerFooter>
  <rowBreaks count="1" manualBreakCount="1">
    <brk id="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4"/>
  <sheetViews>
    <sheetView workbookViewId="0" topLeftCell="A1">
      <pane ySplit="2" topLeftCell="BM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27.00390625" style="1" bestFit="1" customWidth="1"/>
    <col min="2" max="2" width="14.8515625" style="1" bestFit="1" customWidth="1"/>
    <col min="3" max="3" width="18.00390625" style="1" bestFit="1" customWidth="1"/>
    <col min="4" max="4" width="12.7109375" style="1" bestFit="1" customWidth="1"/>
    <col min="5" max="5" width="10.8515625" style="1" bestFit="1" customWidth="1"/>
    <col min="6" max="16384" width="9.140625" style="1" customWidth="1"/>
  </cols>
  <sheetData>
    <row r="1" spans="1:2" ht="12.75">
      <c r="A1" s="1" t="s">
        <v>71</v>
      </c>
      <c r="B1" s="1">
        <v>1000</v>
      </c>
    </row>
    <row r="3" ht="12.75">
      <c r="A3" s="13" t="s">
        <v>57</v>
      </c>
    </row>
    <row r="5" spans="1:2" ht="12.75">
      <c r="A5" s="1" t="s">
        <v>58</v>
      </c>
      <c r="B5" s="1">
        <v>2</v>
      </c>
    </row>
    <row r="7" spans="1:2" ht="12.75">
      <c r="A7" s="1" t="s">
        <v>40</v>
      </c>
      <c r="B7" s="1">
        <v>5.5</v>
      </c>
    </row>
    <row r="9" spans="1:2" ht="12.75">
      <c r="A9" s="1" t="s">
        <v>43</v>
      </c>
      <c r="B9" s="7" t="s">
        <v>21</v>
      </c>
    </row>
    <row r="10" spans="1:2" ht="12.75">
      <c r="A10" s="1" t="s">
        <v>44</v>
      </c>
      <c r="B10" s="1">
        <f>ROUND(B5*B7*General!B18*General!B20,0)</f>
        <v>21222</v>
      </c>
    </row>
    <row r="11" spans="1:2" ht="12.75">
      <c r="A11" s="1" t="s">
        <v>45</v>
      </c>
      <c r="B11" s="1">
        <f>ROUND(B$10*General!B22,0)</f>
        <v>1910</v>
      </c>
    </row>
    <row r="12" spans="1:2" ht="12.75">
      <c r="A12" s="1" t="s">
        <v>46</v>
      </c>
      <c r="B12" s="1">
        <f>ROUND(B$10*General!B23,0)</f>
        <v>3183</v>
      </c>
    </row>
    <row r="13" spans="1:2" ht="12.75">
      <c r="A13" s="13" t="s">
        <v>56</v>
      </c>
      <c r="B13" s="15">
        <f>SUM(B10:B12)</f>
        <v>26315</v>
      </c>
    </row>
    <row r="15" ht="12.75">
      <c r="A15" s="13" t="s">
        <v>59</v>
      </c>
    </row>
    <row r="17" ht="12.75">
      <c r="A17" s="13" t="s">
        <v>36</v>
      </c>
    </row>
    <row r="18" ht="12.75">
      <c r="A18" s="13"/>
    </row>
    <row r="19" spans="1:2" ht="12.75">
      <c r="A19" s="16" t="s">
        <v>54</v>
      </c>
      <c r="B19" s="1">
        <v>1</v>
      </c>
    </row>
    <row r="20" ht="12.75">
      <c r="A20" s="16"/>
    </row>
    <row r="21" ht="12.75">
      <c r="A21" s="13" t="s">
        <v>55</v>
      </c>
    </row>
    <row r="22" ht="12.75">
      <c r="A22" s="13"/>
    </row>
    <row r="23" spans="1:2" ht="12.75">
      <c r="A23" s="16" t="s">
        <v>52</v>
      </c>
      <c r="B23" s="1">
        <v>12000</v>
      </c>
    </row>
    <row r="24" ht="12.75">
      <c r="A24" s="13"/>
    </row>
    <row r="25" spans="1:2" ht="12.75">
      <c r="A25" s="13" t="s">
        <v>53</v>
      </c>
      <c r="B25" s="13">
        <f>B19*B23</f>
        <v>12000</v>
      </c>
    </row>
    <row r="27" ht="12.75">
      <c r="A27" s="13" t="s">
        <v>64</v>
      </c>
    </row>
    <row r="28" ht="12.75">
      <c r="A28" s="13"/>
    </row>
    <row r="29" ht="12.75">
      <c r="A29" s="13" t="s">
        <v>63</v>
      </c>
    </row>
    <row r="31" spans="1:2" ht="12.75">
      <c r="A31" s="1" t="s">
        <v>60</v>
      </c>
      <c r="B31" s="1">
        <v>30</v>
      </c>
    </row>
    <row r="33" spans="1:2" ht="12.75">
      <c r="A33" s="13" t="s">
        <v>51</v>
      </c>
      <c r="B33" s="13">
        <f>B1*B31</f>
        <v>30000</v>
      </c>
    </row>
    <row r="35" spans="1:2" ht="12.75">
      <c r="A35" s="1" t="s">
        <v>62</v>
      </c>
      <c r="B35" s="1">
        <v>5000</v>
      </c>
    </row>
    <row r="37" spans="1:2" ht="12.75">
      <c r="A37" s="1" t="s">
        <v>81</v>
      </c>
      <c r="B37" s="1">
        <f>SUM(B33:B36)</f>
        <v>35000</v>
      </c>
    </row>
    <row r="39" ht="12.75">
      <c r="A39" s="13" t="s">
        <v>19</v>
      </c>
    </row>
    <row r="41" spans="1:2" ht="12.75">
      <c r="A41" s="1" t="s">
        <v>38</v>
      </c>
      <c r="B41" s="1">
        <v>50000</v>
      </c>
    </row>
    <row r="42" spans="1:2" ht="12.75">
      <c r="A42" s="1" t="s">
        <v>51</v>
      </c>
      <c r="B42" s="1">
        <f>B19*B41</f>
        <v>50000</v>
      </c>
    </row>
    <row r="44" spans="1:2" ht="12.75">
      <c r="A44" s="1" t="s">
        <v>39</v>
      </c>
      <c r="B44" s="1">
        <v>10</v>
      </c>
    </row>
    <row r="46" spans="1:2" ht="12.75">
      <c r="A46" s="1" t="s">
        <v>16</v>
      </c>
      <c r="B46" s="5">
        <v>0.05</v>
      </c>
    </row>
    <row r="47" spans="1:2" ht="12.75">
      <c r="A47" s="1" t="s">
        <v>18</v>
      </c>
      <c r="B47" s="1">
        <v>5000</v>
      </c>
    </row>
    <row r="49" ht="12.75">
      <c r="B49" s="7" t="s">
        <v>21</v>
      </c>
    </row>
    <row r="50" spans="1:2" ht="12.75">
      <c r="A50" s="1" t="s">
        <v>17</v>
      </c>
      <c r="B50" s="1">
        <f>ROUND((B42-B47)/B44,2)</f>
        <v>4500</v>
      </c>
    </row>
    <row r="51" spans="1:2" ht="12.75">
      <c r="A51" s="1" t="s">
        <v>23</v>
      </c>
      <c r="B51" s="1">
        <f>ROUND(((B42-B47)/2)*B46,0)</f>
        <v>1125</v>
      </c>
    </row>
    <row r="52" spans="1:2" ht="12.75">
      <c r="A52" s="13" t="s">
        <v>61</v>
      </c>
      <c r="B52" s="15">
        <f>SUM(B50:B51)</f>
        <v>5625</v>
      </c>
    </row>
    <row r="54" ht="12.75">
      <c r="A54" s="13" t="s">
        <v>99</v>
      </c>
    </row>
    <row r="56" spans="1:2" ht="12.75">
      <c r="A56" s="1" t="s">
        <v>48</v>
      </c>
      <c r="B56" s="1">
        <v>11</v>
      </c>
    </row>
    <row r="58" spans="1:2" ht="12.75">
      <c r="A58" s="1" t="s">
        <v>100</v>
      </c>
      <c r="B58" s="1">
        <v>3</v>
      </c>
    </row>
    <row r="60" spans="1:2" ht="12.75">
      <c r="A60" s="1" t="s">
        <v>101</v>
      </c>
      <c r="B60" s="1">
        <f>B56*B58</f>
        <v>33</v>
      </c>
    </row>
    <row r="62" spans="1:2" ht="12.75">
      <c r="A62" s="1" t="s">
        <v>102</v>
      </c>
      <c r="B62" s="1">
        <v>5000</v>
      </c>
    </row>
    <row r="64" spans="1:2" ht="12.75">
      <c r="A64" s="1" t="s">
        <v>103</v>
      </c>
      <c r="B64" s="1">
        <f>B60*B62</f>
        <v>165000</v>
      </c>
    </row>
    <row r="66" ht="12.75">
      <c r="A66" s="1" t="s">
        <v>37</v>
      </c>
    </row>
    <row r="68" spans="1:2" ht="12.75">
      <c r="A68" s="1" t="s">
        <v>51</v>
      </c>
      <c r="B68" s="1">
        <f>B64</f>
        <v>165000</v>
      </c>
    </row>
    <row r="69" spans="1:2" ht="12.75">
      <c r="A69" s="1" t="s">
        <v>104</v>
      </c>
      <c r="B69" s="1">
        <v>20</v>
      </c>
    </row>
    <row r="71" spans="1:2" ht="12.75">
      <c r="A71" s="1" t="s">
        <v>16</v>
      </c>
      <c r="B71" s="5">
        <v>0.05</v>
      </c>
    </row>
    <row r="72" spans="1:2" ht="12.75">
      <c r="A72" s="1" t="s">
        <v>18</v>
      </c>
      <c r="B72" s="1">
        <v>0</v>
      </c>
    </row>
    <row r="74" ht="12.75">
      <c r="B74" s="7" t="s">
        <v>21</v>
      </c>
    </row>
    <row r="75" spans="1:2" ht="12.75">
      <c r="A75" s="1" t="s">
        <v>17</v>
      </c>
      <c r="B75" s="1">
        <f>ROUND((B68-$B72)/$B69,2)</f>
        <v>8250</v>
      </c>
    </row>
    <row r="76" spans="1:2" ht="12.75">
      <c r="A76" s="1" t="s">
        <v>23</v>
      </c>
      <c r="B76" s="1">
        <f>ROUND((B68/2)*B71,0)</f>
        <v>4125</v>
      </c>
    </row>
    <row r="77" spans="1:2" ht="12.75">
      <c r="A77" s="13" t="s">
        <v>61</v>
      </c>
      <c r="B77" s="15">
        <f>SUM(B75:B76)</f>
        <v>12375</v>
      </c>
    </row>
    <row r="79" ht="12.75">
      <c r="A79" s="1" t="s">
        <v>65</v>
      </c>
    </row>
    <row r="81" spans="1:5" ht="12.75">
      <c r="A81" s="13" t="s">
        <v>82</v>
      </c>
      <c r="B81" s="1" t="s">
        <v>66</v>
      </c>
      <c r="C81" s="7" t="s">
        <v>97</v>
      </c>
      <c r="D81" s="7" t="s">
        <v>70</v>
      </c>
      <c r="E81" s="7" t="s">
        <v>72</v>
      </c>
    </row>
    <row r="82" spans="2:5" ht="12.75">
      <c r="B82" s="7" t="s">
        <v>21</v>
      </c>
      <c r="C82" s="7"/>
      <c r="D82" s="7" t="s">
        <v>32</v>
      </c>
      <c r="E82" s="7" t="s">
        <v>21</v>
      </c>
    </row>
    <row r="83" spans="1:5" ht="12.75">
      <c r="A83" s="1" t="s">
        <v>67</v>
      </c>
      <c r="B83" s="7">
        <v>35</v>
      </c>
      <c r="C83" s="17">
        <v>0.7</v>
      </c>
      <c r="D83" s="1">
        <f>ROUND(B$1*C83,0)</f>
        <v>700</v>
      </c>
      <c r="E83" s="1">
        <f>B83*D83</f>
        <v>24500</v>
      </c>
    </row>
    <row r="84" spans="1:5" ht="12.75">
      <c r="A84" s="1" t="s">
        <v>68</v>
      </c>
      <c r="B84" s="7">
        <v>42</v>
      </c>
      <c r="C84" s="17">
        <v>0.2</v>
      </c>
      <c r="D84" s="1">
        <f>ROUND(B$1*C84,0)</f>
        <v>200</v>
      </c>
      <c r="E84" s="1">
        <f>B84*D84</f>
        <v>8400</v>
      </c>
    </row>
    <row r="85" spans="1:5" ht="12.75">
      <c r="A85" s="1" t="s">
        <v>69</v>
      </c>
      <c r="B85" s="7">
        <v>58</v>
      </c>
      <c r="C85" s="17">
        <v>0.1</v>
      </c>
      <c r="D85" s="1">
        <f>ROUND(B$1*C85,0)</f>
        <v>100</v>
      </c>
      <c r="E85" s="1">
        <f>B85*D85</f>
        <v>5800</v>
      </c>
    </row>
    <row r="86" spans="1:5" ht="12.75">
      <c r="A86" s="13" t="s">
        <v>83</v>
      </c>
      <c r="B86" s="13"/>
      <c r="D86" s="15">
        <f>SUM(D83:D85)</f>
        <v>1000</v>
      </c>
      <c r="E86" s="15">
        <f>SUM(E83:E85)</f>
        <v>38700</v>
      </c>
    </row>
    <row r="88" spans="1:2" ht="12.75">
      <c r="A88" s="1" t="s">
        <v>33</v>
      </c>
      <c r="B88" s="1">
        <f>General!C10</f>
        <v>29</v>
      </c>
    </row>
    <row r="90" spans="1:2" ht="12.75">
      <c r="A90" s="13" t="s">
        <v>73</v>
      </c>
      <c r="B90" s="13">
        <f>D86*B88</f>
        <v>29000</v>
      </c>
    </row>
    <row r="92" ht="12.75">
      <c r="A92" s="1" t="s">
        <v>74</v>
      </c>
    </row>
    <row r="93" spans="1:2" ht="12.75">
      <c r="A93" s="1" t="s">
        <v>75</v>
      </c>
      <c r="B93" s="7" t="s">
        <v>21</v>
      </c>
    </row>
    <row r="94" spans="1:2" ht="12.75">
      <c r="A94" s="1" t="s">
        <v>78</v>
      </c>
      <c r="B94" s="1">
        <f>B13</f>
        <v>26315</v>
      </c>
    </row>
    <row r="95" spans="1:2" ht="12.75">
      <c r="A95" s="1" t="s">
        <v>77</v>
      </c>
      <c r="B95" s="1">
        <f>B25</f>
        <v>12000</v>
      </c>
    </row>
    <row r="96" spans="1:2" ht="12.75">
      <c r="A96" s="1" t="s">
        <v>76</v>
      </c>
      <c r="B96" s="1">
        <f>B37</f>
        <v>35000</v>
      </c>
    </row>
    <row r="97" spans="1:2" ht="12.75">
      <c r="A97" s="1" t="s">
        <v>79</v>
      </c>
      <c r="B97" s="1">
        <f>B52+B77</f>
        <v>18000</v>
      </c>
    </row>
    <row r="98" spans="1:2" ht="12.75">
      <c r="A98" s="13" t="s">
        <v>80</v>
      </c>
      <c r="B98" s="15">
        <f>SUM(B94:B97)</f>
        <v>91315</v>
      </c>
    </row>
    <row r="100" ht="12.75">
      <c r="A100" s="1" t="s">
        <v>65</v>
      </c>
    </row>
    <row r="101" spans="1:2" ht="12.75">
      <c r="A101" s="1" t="s">
        <v>82</v>
      </c>
      <c r="B101" s="1">
        <f>E86</f>
        <v>38700</v>
      </c>
    </row>
    <row r="102" spans="1:2" ht="12.75">
      <c r="A102" s="1" t="s">
        <v>84</v>
      </c>
      <c r="B102" s="1">
        <f>B90</f>
        <v>29000</v>
      </c>
    </row>
    <row r="103" spans="1:2" ht="12.75">
      <c r="A103" s="13" t="s">
        <v>72</v>
      </c>
      <c r="B103" s="15">
        <f>SUM(B101:B102)</f>
        <v>67700</v>
      </c>
    </row>
    <row r="105" spans="1:2" ht="12.75">
      <c r="A105" s="1" t="s">
        <v>85</v>
      </c>
      <c r="B105" s="15">
        <f>B98-B103</f>
        <v>23615</v>
      </c>
    </row>
    <row r="107" spans="1:2" ht="12.75">
      <c r="A107" s="13" t="s">
        <v>35</v>
      </c>
      <c r="B107" s="13">
        <f>B105/D86</f>
        <v>23.615</v>
      </c>
    </row>
    <row r="110" ht="12.75">
      <c r="A110" s="1" t="s">
        <v>86</v>
      </c>
    </row>
    <row r="113" spans="1:5" ht="12.75">
      <c r="A113" s="1" t="s">
        <v>88</v>
      </c>
      <c r="B113" s="7" t="s">
        <v>87</v>
      </c>
      <c r="C113" s="7" t="s">
        <v>90</v>
      </c>
      <c r="D113" s="7" t="s">
        <v>70</v>
      </c>
      <c r="E113" s="1" t="s">
        <v>91</v>
      </c>
    </row>
    <row r="114" spans="2:5" ht="12.75">
      <c r="B114" s="7" t="s">
        <v>21</v>
      </c>
      <c r="D114" s="7" t="s">
        <v>32</v>
      </c>
      <c r="E114" s="7" t="s">
        <v>21</v>
      </c>
    </row>
    <row r="115" spans="1:5" ht="12.75">
      <c r="A115" s="1" t="s">
        <v>67</v>
      </c>
      <c r="B115" s="1">
        <f>B83</f>
        <v>35</v>
      </c>
      <c r="C115" s="1">
        <f>ROUND(B115*0.01,2)</f>
        <v>0.35</v>
      </c>
      <c r="D115" s="1">
        <f>D83</f>
        <v>700</v>
      </c>
      <c r="E115" s="1">
        <f>C115*D115</f>
        <v>244.99999999999997</v>
      </c>
    </row>
    <row r="116" spans="1:5" ht="12.75">
      <c r="A116" s="1" t="s">
        <v>68</v>
      </c>
      <c r="B116" s="1">
        <f>B84</f>
        <v>42</v>
      </c>
      <c r="C116" s="1">
        <f>ROUND(B116*0.01,2)</f>
        <v>0.42</v>
      </c>
      <c r="D116" s="1">
        <f>D84</f>
        <v>200</v>
      </c>
      <c r="E116" s="1">
        <f>C116*D116</f>
        <v>84</v>
      </c>
    </row>
    <row r="117" spans="1:5" ht="12.75">
      <c r="A117" s="1" t="s">
        <v>69</v>
      </c>
      <c r="B117" s="1">
        <f>B85</f>
        <v>58</v>
      </c>
      <c r="C117" s="1">
        <f>ROUND(B117*0.01,2)</f>
        <v>0.58</v>
      </c>
      <c r="D117" s="1">
        <f>D85</f>
        <v>100</v>
      </c>
      <c r="E117" s="1">
        <f>C117*D117</f>
        <v>57.99999999999999</v>
      </c>
    </row>
    <row r="118" spans="4:5" ht="12.75">
      <c r="D118" s="15">
        <f>SUM(D115:D117)</f>
        <v>1000</v>
      </c>
      <c r="E118" s="15">
        <f>SUM(E115:E117)</f>
        <v>387</v>
      </c>
    </row>
    <row r="120" spans="1:5" ht="12.75">
      <c r="A120" s="1" t="s">
        <v>92</v>
      </c>
      <c r="E120" s="1">
        <f>E118/D118</f>
        <v>0.387</v>
      </c>
    </row>
    <row r="122" ht="12.75">
      <c r="A122" s="1" t="s">
        <v>93</v>
      </c>
    </row>
    <row r="124" spans="1:5" ht="12.75">
      <c r="A124" s="1" t="s">
        <v>94</v>
      </c>
      <c r="B124" s="1" t="s">
        <v>95</v>
      </c>
      <c r="C124" s="1" t="s">
        <v>89</v>
      </c>
      <c r="D124" s="1" t="s">
        <v>92</v>
      </c>
      <c r="E124" s="1" t="s">
        <v>96</v>
      </c>
    </row>
    <row r="125" spans="2:5" ht="12.75">
      <c r="B125" s="7" t="s">
        <v>21</v>
      </c>
      <c r="C125" s="7" t="s">
        <v>21</v>
      </c>
      <c r="D125" s="7" t="s">
        <v>21</v>
      </c>
      <c r="E125" s="7" t="s">
        <v>21</v>
      </c>
    </row>
    <row r="126" spans="1:5" ht="12.75">
      <c r="A126" s="17">
        <v>-0.5</v>
      </c>
      <c r="B126" s="1">
        <f aca="true" t="shared" si="0" ref="B126:B131">ROUND(E$118*(A126*100),0)</f>
        <v>-19350</v>
      </c>
      <c r="C126" s="1">
        <f aca="true" t="shared" si="1" ref="C126:C131">B$105-B126</f>
        <v>42965</v>
      </c>
      <c r="D126" s="1">
        <f aca="true" t="shared" si="2" ref="D126:D131">ROUND(E$120*(A126*-100),2)</f>
        <v>19.35</v>
      </c>
      <c r="E126" s="1">
        <f aca="true" t="shared" si="3" ref="E126:E131">B$107+D126</f>
        <v>42.965</v>
      </c>
    </row>
    <row r="127" spans="1:5" ht="12.75">
      <c r="A127" s="17">
        <v>-0.25</v>
      </c>
      <c r="B127" s="1">
        <f t="shared" si="0"/>
        <v>-9675</v>
      </c>
      <c r="C127" s="1">
        <f t="shared" si="1"/>
        <v>33290</v>
      </c>
      <c r="D127" s="1">
        <f t="shared" si="2"/>
        <v>9.68</v>
      </c>
      <c r="E127" s="1">
        <f t="shared" si="3"/>
        <v>33.295</v>
      </c>
    </row>
    <row r="128" spans="1:5" ht="12.75">
      <c r="A128" s="17">
        <v>-0.1</v>
      </c>
      <c r="B128" s="1">
        <f t="shared" si="0"/>
        <v>-3870</v>
      </c>
      <c r="C128" s="1">
        <f t="shared" si="1"/>
        <v>27485</v>
      </c>
      <c r="D128" s="1">
        <f t="shared" si="2"/>
        <v>3.87</v>
      </c>
      <c r="E128" s="1">
        <f t="shared" si="3"/>
        <v>27.485</v>
      </c>
    </row>
    <row r="129" spans="1:5" ht="12.75">
      <c r="A129" s="17">
        <v>0</v>
      </c>
      <c r="B129" s="1">
        <f t="shared" si="0"/>
        <v>0</v>
      </c>
      <c r="C129" s="1">
        <f t="shared" si="1"/>
        <v>23615</v>
      </c>
      <c r="D129" s="1">
        <f t="shared" si="2"/>
        <v>0</v>
      </c>
      <c r="E129" s="1">
        <f t="shared" si="3"/>
        <v>23.615</v>
      </c>
    </row>
    <row r="130" spans="1:5" ht="12.75">
      <c r="A130" s="17">
        <v>0.1</v>
      </c>
      <c r="B130" s="1">
        <f t="shared" si="0"/>
        <v>3870</v>
      </c>
      <c r="C130" s="1">
        <f t="shared" si="1"/>
        <v>19745</v>
      </c>
      <c r="D130" s="1">
        <f t="shared" si="2"/>
        <v>-3.87</v>
      </c>
      <c r="E130" s="1">
        <f t="shared" si="3"/>
        <v>19.744999999999997</v>
      </c>
    </row>
    <row r="131" spans="1:5" ht="12.75">
      <c r="A131" s="17">
        <v>0.2</v>
      </c>
      <c r="B131" s="1">
        <f t="shared" si="0"/>
        <v>7740</v>
      </c>
      <c r="C131" s="1">
        <f t="shared" si="1"/>
        <v>15875</v>
      </c>
      <c r="D131" s="1">
        <f t="shared" si="2"/>
        <v>-7.74</v>
      </c>
      <c r="E131" s="1">
        <f t="shared" si="3"/>
        <v>15.874999999999998</v>
      </c>
    </row>
    <row r="133" ht="12.75">
      <c r="A133" s="1" t="s">
        <v>98</v>
      </c>
    </row>
    <row r="135" spans="1:4" ht="12.75">
      <c r="A135" s="1" t="s">
        <v>94</v>
      </c>
      <c r="B135" s="1" t="s">
        <v>98</v>
      </c>
      <c r="C135" s="1" t="s">
        <v>89</v>
      </c>
      <c r="D135" s="1" t="s">
        <v>96</v>
      </c>
    </row>
    <row r="136" spans="3:4" ht="12.75">
      <c r="C136" s="7" t="s">
        <v>21</v>
      </c>
      <c r="D136" s="7" t="s">
        <v>21</v>
      </c>
    </row>
    <row r="137" spans="1:4" ht="12.75">
      <c r="A137" s="17">
        <v>-0.5</v>
      </c>
      <c r="B137" s="17">
        <v>0.05</v>
      </c>
      <c r="C137" s="1">
        <f aca="true" t="shared" si="4" ref="C137:C143">ROUND(C126*$B137,0)</f>
        <v>2148</v>
      </c>
      <c r="D137" s="1">
        <f aca="true" t="shared" si="5" ref="D137:D143">ROUND(E126*$B137,0)</f>
        <v>2</v>
      </c>
    </row>
    <row r="138" spans="1:4" ht="12.75">
      <c r="A138" s="17">
        <v>-0.25</v>
      </c>
      <c r="B138" s="17">
        <v>0.25</v>
      </c>
      <c r="C138" s="1">
        <f t="shared" si="4"/>
        <v>8323</v>
      </c>
      <c r="D138" s="1">
        <f t="shared" si="5"/>
        <v>8</v>
      </c>
    </row>
    <row r="139" spans="1:4" ht="12.75">
      <c r="A139" s="17">
        <v>-0.1</v>
      </c>
      <c r="B139" s="17">
        <v>0.4</v>
      </c>
      <c r="C139" s="1">
        <f t="shared" si="4"/>
        <v>10994</v>
      </c>
      <c r="D139" s="1">
        <f t="shared" si="5"/>
        <v>11</v>
      </c>
    </row>
    <row r="140" spans="1:4" ht="12.75">
      <c r="A140" s="17">
        <v>0</v>
      </c>
      <c r="B140" s="17">
        <v>0.15</v>
      </c>
      <c r="C140" s="1">
        <f t="shared" si="4"/>
        <v>3542</v>
      </c>
      <c r="D140" s="1">
        <f t="shared" si="5"/>
        <v>4</v>
      </c>
    </row>
    <row r="141" spans="1:4" ht="12.75">
      <c r="A141" s="17">
        <v>0.1</v>
      </c>
      <c r="B141" s="17">
        <v>0.1</v>
      </c>
      <c r="C141" s="1">
        <f t="shared" si="4"/>
        <v>1975</v>
      </c>
      <c r="D141" s="1">
        <f t="shared" si="5"/>
        <v>2</v>
      </c>
    </row>
    <row r="142" spans="1:4" ht="12.75">
      <c r="A142" s="17">
        <v>0.2</v>
      </c>
      <c r="B142" s="17">
        <v>0.05</v>
      </c>
      <c r="C142" s="1">
        <f t="shared" si="4"/>
        <v>794</v>
      </c>
      <c r="D142" s="1">
        <f t="shared" si="5"/>
        <v>1</v>
      </c>
    </row>
    <row r="143" spans="2:4" ht="12.75">
      <c r="B143" s="17">
        <f>SUM(B137:B142)</f>
        <v>1</v>
      </c>
      <c r="C143" s="1">
        <f t="shared" si="4"/>
        <v>0</v>
      </c>
      <c r="D143" s="1">
        <f t="shared" si="5"/>
        <v>0</v>
      </c>
    </row>
    <row r="144" spans="3:4" ht="12.75">
      <c r="C144" s="15">
        <f>SUM(C137:C143)</f>
        <v>27776</v>
      </c>
      <c r="D144" s="15">
        <f>SUM(D137:D143)</f>
        <v>28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5" sqref="A15:C19"/>
    </sheetView>
  </sheetViews>
  <sheetFormatPr defaultColWidth="9.140625" defaultRowHeight="12.75"/>
  <cols>
    <col min="1" max="1" width="34.00390625" style="27" bestFit="1" customWidth="1"/>
    <col min="2" max="2" width="4.140625" style="27" bestFit="1" customWidth="1"/>
    <col min="3" max="3" width="7.421875" style="27" bestFit="1" customWidth="1"/>
    <col min="4" max="4" width="12.00390625" style="27" bestFit="1" customWidth="1"/>
    <col min="5" max="5" width="6.57421875" style="27" bestFit="1" customWidth="1"/>
    <col min="6" max="6" width="24.140625" style="27" bestFit="1" customWidth="1"/>
    <col min="7" max="16384" width="9.140625" style="27" customWidth="1"/>
  </cols>
  <sheetData>
    <row r="1" spans="4:5" ht="11.25">
      <c r="D1" s="124" t="s">
        <v>112</v>
      </c>
      <c r="E1" s="124"/>
    </row>
    <row r="2" spans="1:5" ht="11.25">
      <c r="A2" s="33" t="s">
        <v>133</v>
      </c>
      <c r="D2" s="28"/>
      <c r="E2" s="28"/>
    </row>
    <row r="3" ht="11.25"/>
    <row r="4" spans="1:3" ht="11.25">
      <c r="A4" s="38" t="s">
        <v>134</v>
      </c>
      <c r="B4" s="38"/>
      <c r="C4" s="38"/>
    </row>
    <row r="5" spans="1:3" ht="11.25">
      <c r="A5" s="38"/>
      <c r="B5" s="38"/>
      <c r="C5" s="38"/>
    </row>
    <row r="6" spans="1:3" ht="11.25">
      <c r="A6" s="27" t="s">
        <v>58</v>
      </c>
      <c r="C6" s="30">
        <f>'Glass Collection'!B5</f>
        <v>2</v>
      </c>
    </row>
    <row r="7" spans="1:3" ht="11.25">
      <c r="A7" s="38"/>
      <c r="B7" s="38"/>
      <c r="C7" s="38"/>
    </row>
    <row r="8" spans="1:3" ht="11.25">
      <c r="A8" s="27" t="s">
        <v>111</v>
      </c>
      <c r="C8" s="27">
        <f>'Glass Collection'!B7</f>
        <v>5.5</v>
      </c>
    </row>
    <row r="9" spans="1:3" ht="11.25">
      <c r="A9" s="27" t="s">
        <v>105</v>
      </c>
      <c r="C9" s="30">
        <f>C8*General!B18*General!B20</f>
        <v>10611.1005</v>
      </c>
    </row>
    <row r="10" ht="11.25"/>
    <row r="11" ht="11.25">
      <c r="C11" s="32" t="s">
        <v>21</v>
      </c>
    </row>
    <row r="12" spans="1:3" ht="11.25">
      <c r="A12" s="27" t="s">
        <v>44</v>
      </c>
      <c r="C12" s="30">
        <f>C9*C6</f>
        <v>21222.201</v>
      </c>
    </row>
    <row r="13" spans="1:3" ht="11.25">
      <c r="A13" s="27" t="s">
        <v>45</v>
      </c>
      <c r="B13" s="29">
        <f>General!B22</f>
        <v>0.09</v>
      </c>
      <c r="C13" s="30">
        <f>ROUND(C$12*B13,0)</f>
        <v>1910</v>
      </c>
    </row>
    <row r="14" spans="1:3" ht="11.25">
      <c r="A14" s="27" t="s">
        <v>46</v>
      </c>
      <c r="B14" s="29">
        <f>General!B23</f>
        <v>0.15</v>
      </c>
      <c r="C14" s="30">
        <f>ROUND(C$12*B14,0)</f>
        <v>3183</v>
      </c>
    </row>
    <row r="15" spans="1:3" ht="11.25">
      <c r="A15" s="33" t="s">
        <v>57</v>
      </c>
      <c r="C15" s="34">
        <f>SUM(C12:C14)</f>
        <v>26315.201</v>
      </c>
    </row>
    <row r="16" ht="11.25">
      <c r="C16" s="30"/>
    </row>
    <row r="17" spans="1:3" ht="11.25">
      <c r="A17" s="33" t="s">
        <v>135</v>
      </c>
      <c r="B17" s="33"/>
      <c r="C17" s="35">
        <f>'Glass Collection'!B23</f>
        <v>12000</v>
      </c>
    </row>
    <row r="18" ht="11.25"/>
    <row r="19" spans="1:3" ht="11.25">
      <c r="A19" s="38" t="s">
        <v>62</v>
      </c>
      <c r="B19" s="38"/>
      <c r="C19" s="39">
        <f>'Glass Collection'!B35</f>
        <v>5000</v>
      </c>
    </row>
    <row r="20" ht="11.25"/>
    <row r="21" spans="1:2" ht="11.25">
      <c r="A21" s="33" t="s">
        <v>19</v>
      </c>
      <c r="B21" s="33"/>
    </row>
    <row r="22" spans="1:2" ht="11.25">
      <c r="A22" s="33"/>
      <c r="B22" s="33"/>
    </row>
    <row r="23" spans="1:3" ht="11.25">
      <c r="A23" s="27" t="s">
        <v>16</v>
      </c>
      <c r="C23" s="29">
        <f>'Glass Collection'!B46</f>
        <v>0.05</v>
      </c>
    </row>
    <row r="24" spans="1:2" ht="11.25">
      <c r="A24" s="33"/>
      <c r="B24" s="33"/>
    </row>
    <row r="25" spans="3:5" ht="22.5">
      <c r="C25" s="36" t="s">
        <v>110</v>
      </c>
      <c r="D25" s="36" t="s">
        <v>107</v>
      </c>
      <c r="E25" s="31" t="s">
        <v>83</v>
      </c>
    </row>
    <row r="26" spans="3:5" ht="11.25">
      <c r="C26" s="36" t="s">
        <v>21</v>
      </c>
      <c r="D26" s="36" t="s">
        <v>21</v>
      </c>
      <c r="E26" s="31"/>
    </row>
    <row r="27" spans="1:4" ht="11.25">
      <c r="A27" s="27" t="s">
        <v>106</v>
      </c>
      <c r="B27" s="33"/>
      <c r="C27" s="30">
        <f>'Glass Collection'!B41</f>
        <v>50000</v>
      </c>
      <c r="D27" s="30">
        <f>'Glass Collection'!B62</f>
        <v>5000</v>
      </c>
    </row>
    <row r="28" spans="1:4" ht="11.25">
      <c r="A28" s="27" t="s">
        <v>18</v>
      </c>
      <c r="C28" s="30">
        <f>'Glass Collection'!B47</f>
        <v>5000</v>
      </c>
      <c r="D28" s="27">
        <f>'Glass Collection'!B72</f>
        <v>0</v>
      </c>
    </row>
    <row r="29" ht="11.25">
      <c r="C29" s="30"/>
    </row>
    <row r="30" spans="3:4" ht="11.25">
      <c r="C30" s="32" t="s">
        <v>136</v>
      </c>
      <c r="D30" s="31" t="s">
        <v>136</v>
      </c>
    </row>
    <row r="31" spans="1:4" ht="11.25">
      <c r="A31" s="27" t="s">
        <v>137</v>
      </c>
      <c r="B31" s="33"/>
      <c r="C31" s="30">
        <f>'Glass Collection'!B44</f>
        <v>10</v>
      </c>
      <c r="D31" s="30">
        <f>'Glass Collection'!B69</f>
        <v>20</v>
      </c>
    </row>
    <row r="32" spans="3:4" ht="11.25">
      <c r="C32" s="31"/>
      <c r="D32" s="31"/>
    </row>
    <row r="33" spans="1:4" ht="11.25">
      <c r="A33" s="27" t="s">
        <v>116</v>
      </c>
      <c r="C33" s="30">
        <f>ROUND((C27-C28)/C31,2)</f>
        <v>4500</v>
      </c>
      <c r="D33" s="30">
        <f>ROUND((D27-D28)/D31,2)</f>
        <v>250</v>
      </c>
    </row>
    <row r="34" spans="1:4" ht="11.25">
      <c r="A34" s="27" t="s">
        <v>117</v>
      </c>
      <c r="C34" s="30">
        <f>ROUND(((C27-C28)/2)*$C23,0)</f>
        <v>1125</v>
      </c>
      <c r="D34" s="30">
        <f>ROUND(((D27-D28)/2)*$C23,0)</f>
        <v>125</v>
      </c>
    </row>
    <row r="35" spans="1:4" ht="11.25">
      <c r="A35" s="27" t="s">
        <v>118</v>
      </c>
      <c r="B35" s="33"/>
      <c r="C35" s="34">
        <f>SUM(C33:C34)</f>
        <v>5625</v>
      </c>
      <c r="D35" s="34">
        <f>SUM(D33:D34)</f>
        <v>375</v>
      </c>
    </row>
    <row r="36" spans="1:2" ht="11.25">
      <c r="A36" s="33"/>
      <c r="B36" s="33"/>
    </row>
    <row r="37" spans="1:5" ht="11.25">
      <c r="A37" s="27" t="s">
        <v>54</v>
      </c>
      <c r="B37" s="33"/>
      <c r="C37" s="30">
        <f>'Glass Collection'!B19</f>
        <v>1</v>
      </c>
      <c r="D37" s="30"/>
      <c r="E37" s="30"/>
    </row>
    <row r="38" spans="1:4" ht="11.25">
      <c r="A38" s="27" t="s">
        <v>48</v>
      </c>
      <c r="D38" s="30">
        <f>'Glass Collection'!B56</f>
        <v>11</v>
      </c>
    </row>
    <row r="39" spans="1:4" ht="11.25">
      <c r="A39" s="27" t="s">
        <v>49</v>
      </c>
      <c r="B39" s="33"/>
      <c r="D39" s="30">
        <f>'Glass Collection'!B58</f>
        <v>3</v>
      </c>
    </row>
    <row r="40" spans="1:4" ht="11.25">
      <c r="A40" s="27" t="s">
        <v>50</v>
      </c>
      <c r="D40" s="30">
        <f>D38*D39</f>
        <v>33</v>
      </c>
    </row>
    <row r="41" ht="11.25">
      <c r="D41" s="30"/>
    </row>
    <row r="42" spans="3:5" ht="11.25">
      <c r="C42" s="31" t="s">
        <v>21</v>
      </c>
      <c r="D42" s="31" t="s">
        <v>21</v>
      </c>
      <c r="E42" s="31" t="s">
        <v>21</v>
      </c>
    </row>
    <row r="43" spans="1:5" ht="11.25">
      <c r="A43" s="27" t="s">
        <v>108</v>
      </c>
      <c r="C43" s="30">
        <f>C33*C37</f>
        <v>4500</v>
      </c>
      <c r="D43" s="30">
        <f>D33*D40</f>
        <v>8250</v>
      </c>
      <c r="E43" s="30">
        <f>SUM(C43:D43)</f>
        <v>12750</v>
      </c>
    </row>
    <row r="44" spans="1:5" ht="11.25">
      <c r="A44" s="27" t="s">
        <v>109</v>
      </c>
      <c r="C44" s="30">
        <f>C34*C37</f>
        <v>1125</v>
      </c>
      <c r="D44" s="30">
        <f>D34*D40</f>
        <v>4125</v>
      </c>
      <c r="E44" s="30">
        <f>SUM(C44:D44)</f>
        <v>5250</v>
      </c>
    </row>
    <row r="45" spans="1:5" ht="11.25">
      <c r="A45" s="33" t="s">
        <v>61</v>
      </c>
      <c r="B45" s="33"/>
      <c r="C45" s="34">
        <f>SUM(C43:C44)</f>
        <v>5625</v>
      </c>
      <c r="D45" s="34">
        <f>SUM(D43:D44)</f>
        <v>12375</v>
      </c>
      <c r="E45" s="34">
        <f>SUM(E43:E44)</f>
        <v>18000</v>
      </c>
    </row>
    <row r="46" ht="11.25"/>
    <row r="48" ht="11.25"/>
  </sheetData>
  <mergeCells count="1">
    <mergeCell ref="D1:E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3"/>
  <headerFooter alignWithMargins="0">
    <oddFooter>&amp;L&amp;F   &amp;A   &amp;D&amp;R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3" sqref="A33"/>
    </sheetView>
  </sheetViews>
  <sheetFormatPr defaultColWidth="9.140625" defaultRowHeight="12.75"/>
  <cols>
    <col min="1" max="1" width="27.00390625" style="20" bestFit="1" customWidth="1"/>
    <col min="2" max="2" width="14.8515625" style="20" bestFit="1" customWidth="1"/>
    <col min="3" max="3" width="12.8515625" style="20" bestFit="1" customWidth="1"/>
    <col min="4" max="4" width="18.00390625" style="20" bestFit="1" customWidth="1"/>
    <col min="5" max="5" width="12.7109375" style="20" bestFit="1" customWidth="1"/>
    <col min="6" max="16384" width="9.140625" style="20" customWidth="1"/>
  </cols>
  <sheetData>
    <row r="1" spans="4:5" ht="12.75">
      <c r="D1" s="125" t="s">
        <v>112</v>
      </c>
      <c r="E1" s="125"/>
    </row>
    <row r="2" spans="1:5" ht="12.75">
      <c r="A2" s="23" t="s">
        <v>133</v>
      </c>
      <c r="D2" s="37"/>
      <c r="E2" s="37"/>
    </row>
    <row r="3" spans="4:5" ht="12.75">
      <c r="D3" s="37"/>
      <c r="E3" s="37"/>
    </row>
    <row r="4" spans="1:6" ht="12.75">
      <c r="A4" s="23" t="s">
        <v>82</v>
      </c>
      <c r="C4" s="20" t="s">
        <v>66</v>
      </c>
      <c r="D4" s="21" t="s">
        <v>97</v>
      </c>
      <c r="E4" s="21" t="s">
        <v>70</v>
      </c>
      <c r="F4" s="21" t="s">
        <v>72</v>
      </c>
    </row>
    <row r="5" spans="3:6" ht="12.75">
      <c r="C5" s="21" t="s">
        <v>21</v>
      </c>
      <c r="D5" s="21"/>
      <c r="E5" s="21" t="s">
        <v>32</v>
      </c>
      <c r="F5" s="21" t="s">
        <v>21</v>
      </c>
    </row>
    <row r="6" spans="1:6" ht="12.75">
      <c r="A6" s="20" t="s">
        <v>67</v>
      </c>
      <c r="C6" s="21">
        <f>'Glass Collection'!B115</f>
        <v>35</v>
      </c>
      <c r="D6" s="25">
        <v>0.7</v>
      </c>
      <c r="E6" s="22" t="e">
        <f>ROUND('Appendix C43'!#REF!*D6,0)</f>
        <v>#REF!</v>
      </c>
      <c r="F6" s="22" t="e">
        <f>C6*E6</f>
        <v>#REF!</v>
      </c>
    </row>
    <row r="7" spans="1:6" ht="12.75">
      <c r="A7" s="20" t="s">
        <v>68</v>
      </c>
      <c r="C7" s="21">
        <f>'Glass Collection'!B116</f>
        <v>42</v>
      </c>
      <c r="D7" s="25">
        <v>0.2</v>
      </c>
      <c r="E7" s="22" t="e">
        <f>ROUND('Appendix C43'!#REF!*D7,0)</f>
        <v>#REF!</v>
      </c>
      <c r="F7" s="22" t="e">
        <f>C7*E7</f>
        <v>#REF!</v>
      </c>
    </row>
    <row r="8" spans="1:6" ht="12.75">
      <c r="A8" s="20" t="s">
        <v>69</v>
      </c>
      <c r="C8" s="21">
        <f>'Glass Collection'!B117</f>
        <v>58</v>
      </c>
      <c r="D8" s="25">
        <v>0.1</v>
      </c>
      <c r="E8" s="22" t="e">
        <f>ROUND('Appendix C43'!#REF!*D8,0)</f>
        <v>#REF!</v>
      </c>
      <c r="F8" s="22" t="e">
        <f>C8*E8</f>
        <v>#REF!</v>
      </c>
    </row>
    <row r="9" spans="1:6" ht="12.75">
      <c r="A9" s="23" t="s">
        <v>83</v>
      </c>
      <c r="C9" s="23"/>
      <c r="E9" s="24" t="e">
        <f>SUM(E6:E8)</f>
        <v>#REF!</v>
      </c>
      <c r="F9" s="24" t="e">
        <f>SUM(F6:F8)</f>
        <v>#REF!</v>
      </c>
    </row>
    <row r="10" ht="12.75"/>
    <row r="11" spans="1:2" ht="12.75">
      <c r="A11" s="20" t="s">
        <v>33</v>
      </c>
      <c r="B11" s="20">
        <f>General!C10</f>
        <v>29</v>
      </c>
    </row>
    <row r="12" ht="12.75"/>
    <row r="13" spans="1:2" ht="12.75">
      <c r="A13" s="23" t="s">
        <v>73</v>
      </c>
      <c r="B13" s="23" t="e">
        <f>E9*B11</f>
        <v>#REF!</v>
      </c>
    </row>
    <row r="14" ht="12.75"/>
    <row r="15" ht="12.75">
      <c r="A15" s="20" t="s">
        <v>74</v>
      </c>
    </row>
    <row r="16" spans="1:2" ht="12.75">
      <c r="A16" s="20" t="s">
        <v>75</v>
      </c>
      <c r="B16" s="21" t="s">
        <v>21</v>
      </c>
    </row>
    <row r="17" spans="1:2" ht="12.75">
      <c r="A17" s="20" t="s">
        <v>78</v>
      </c>
      <c r="B17" s="22">
        <f>'Appendix C43'!C15</f>
        <v>26315.201</v>
      </c>
    </row>
    <row r="18" spans="1:2" ht="12.75">
      <c r="A18" s="20" t="s">
        <v>77</v>
      </c>
      <c r="B18" s="22">
        <f>'Appendix C43'!C17</f>
        <v>12000</v>
      </c>
    </row>
    <row r="19" spans="1:2" ht="12.75">
      <c r="A19" s="20" t="s">
        <v>76</v>
      </c>
      <c r="B19" s="22" t="e">
        <f>'Appendix C43'!#REF!</f>
        <v>#REF!</v>
      </c>
    </row>
    <row r="20" spans="1:2" ht="12.75">
      <c r="A20" s="20" t="s">
        <v>79</v>
      </c>
      <c r="B20" s="22">
        <f>'Appendix C43'!E45</f>
        <v>18000</v>
      </c>
    </row>
    <row r="21" spans="1:2" ht="12.75">
      <c r="A21" s="23" t="s">
        <v>80</v>
      </c>
      <c r="B21" s="24" t="e">
        <f>SUM(B17:B20)</f>
        <v>#REF!</v>
      </c>
    </row>
    <row r="23" ht="12.75">
      <c r="A23" s="20" t="s">
        <v>65</v>
      </c>
    </row>
    <row r="24" spans="1:2" ht="12.75">
      <c r="A24" s="20" t="s">
        <v>82</v>
      </c>
      <c r="B24" s="22" t="e">
        <f>F9</f>
        <v>#REF!</v>
      </c>
    </row>
    <row r="25" spans="1:2" ht="12.75">
      <c r="A25" s="20" t="s">
        <v>84</v>
      </c>
      <c r="B25" s="22" t="e">
        <f>B13</f>
        <v>#REF!</v>
      </c>
    </row>
    <row r="26" spans="1:2" ht="12.75">
      <c r="A26" s="23" t="s">
        <v>72</v>
      </c>
      <c r="B26" s="24" t="e">
        <f>SUM(B24:B25)</f>
        <v>#REF!</v>
      </c>
    </row>
    <row r="28" spans="1:2" ht="12.75">
      <c r="A28" s="20" t="s">
        <v>85</v>
      </c>
      <c r="B28" s="24" t="e">
        <f>B21-B26</f>
        <v>#REF!</v>
      </c>
    </row>
    <row r="30" spans="1:2" ht="12.75">
      <c r="A30" s="23" t="s">
        <v>35</v>
      </c>
      <c r="B30" s="23" t="e">
        <f>B28/E9</f>
        <v>#REF!</v>
      </c>
    </row>
  </sheetData>
  <mergeCells count="1">
    <mergeCell ref="D1:E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3"/>
  <headerFooter alignWithMargins="0">
    <oddFooter>&amp;L&amp;F   &amp;A  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3">
      <selection activeCell="J30" sqref="J30"/>
    </sheetView>
  </sheetViews>
  <sheetFormatPr defaultColWidth="9.140625" defaultRowHeight="12.75"/>
  <cols>
    <col min="1" max="1" width="51.7109375" style="1" bestFit="1" customWidth="1"/>
    <col min="2" max="2" width="5.28125" style="1" bestFit="1" customWidth="1"/>
    <col min="3" max="3" width="10.140625" style="1" bestFit="1" customWidth="1"/>
    <col min="4" max="4" width="9.140625" style="1" customWidth="1"/>
    <col min="5" max="5" width="6.140625" style="1" bestFit="1" customWidth="1"/>
    <col min="6" max="16384" width="9.140625" style="1" customWidth="1"/>
  </cols>
  <sheetData>
    <row r="1" spans="1:5" ht="12.75">
      <c r="A1" s="8"/>
      <c r="D1" s="126" t="s">
        <v>113</v>
      </c>
      <c r="E1" s="126"/>
    </row>
    <row r="3" ht="12.75">
      <c r="A3" s="13" t="s">
        <v>119</v>
      </c>
    </row>
    <row r="4" ht="12.75">
      <c r="C4" s="1" t="s">
        <v>32</v>
      </c>
    </row>
    <row r="5" spans="1:3" ht="12.75">
      <c r="A5" s="1" t="s">
        <v>132</v>
      </c>
      <c r="C5" s="1" t="e">
        <f>'Appendix C2'!#REF!</f>
        <v>#REF!</v>
      </c>
    </row>
    <row r="7" spans="1:3" ht="12.75">
      <c r="A7" s="1" t="s">
        <v>131</v>
      </c>
      <c r="B7" s="5">
        <v>-0.1</v>
      </c>
      <c r="C7" s="1" t="e">
        <f>ROUND(C5*B7,0)</f>
        <v>#REF!</v>
      </c>
    </row>
    <row r="9" spans="1:3" ht="12.75">
      <c r="A9" s="13" t="s">
        <v>120</v>
      </c>
      <c r="B9" s="13"/>
      <c r="C9" s="13" t="e">
        <f>C5+C7</f>
        <v>#REF!</v>
      </c>
    </row>
    <row r="11" ht="12.75">
      <c r="A11" s="13" t="s">
        <v>121</v>
      </c>
    </row>
    <row r="13" spans="1:3" ht="12.75">
      <c r="A13" s="1" t="s">
        <v>122</v>
      </c>
      <c r="C13" s="1">
        <f>'Glass Collection'!B31</f>
        <v>30</v>
      </c>
    </row>
    <row r="15" spans="1:4" ht="12.75">
      <c r="A15" s="13" t="s">
        <v>123</v>
      </c>
      <c r="B15" s="13"/>
      <c r="C15" s="14" t="e">
        <f>C7*C13</f>
        <v>#REF!</v>
      </c>
      <c r="D15" s="18"/>
    </row>
    <row r="17" ht="12.75">
      <c r="A17" s="13" t="s">
        <v>124</v>
      </c>
    </row>
    <row r="19" spans="1:3" ht="12.75">
      <c r="A19" s="1" t="s">
        <v>33</v>
      </c>
      <c r="C19" s="1">
        <f>General!C10</f>
        <v>29</v>
      </c>
    </row>
    <row r="20" spans="1:3" ht="12.75">
      <c r="A20" s="16"/>
      <c r="B20" s="16"/>
      <c r="C20" s="19"/>
    </row>
    <row r="21" spans="1:3" ht="12.75">
      <c r="A21" s="13" t="s">
        <v>125</v>
      </c>
      <c r="B21" s="13"/>
      <c r="C21" s="14" t="e">
        <f>C7*C19</f>
        <v>#REF!</v>
      </c>
    </row>
    <row r="23" spans="1:4" ht="12.75">
      <c r="A23" s="13" t="s">
        <v>126</v>
      </c>
      <c r="B23" s="13"/>
      <c r="C23" s="14" t="e">
        <f>C15-C21</f>
        <v>#REF!</v>
      </c>
      <c r="D23" s="18"/>
    </row>
    <row r="24" ht="12.75">
      <c r="D24" s="18"/>
    </row>
    <row r="25" spans="1:4" ht="12.75">
      <c r="A25" s="13" t="s">
        <v>128</v>
      </c>
      <c r="B25" s="13"/>
      <c r="C25" s="14" t="e">
        <f>'Appendix C2'!#REF!+C23</f>
        <v>#REF!</v>
      </c>
      <c r="D25" s="18"/>
    </row>
    <row r="26" ht="12.75">
      <c r="D26" s="18"/>
    </row>
    <row r="27" spans="1:4" ht="12.75">
      <c r="A27" s="13" t="s">
        <v>127</v>
      </c>
      <c r="D27" s="18"/>
    </row>
    <row r="29" spans="1:3" ht="12.75">
      <c r="A29" s="13" t="s">
        <v>129</v>
      </c>
      <c r="B29" s="13"/>
      <c r="C29" s="13" t="e">
        <f>ROUND((C25/C9)-'Appendix C2'!#REF!,2)</f>
        <v>#REF!</v>
      </c>
    </row>
    <row r="31" spans="1:3" ht="12.75">
      <c r="A31" s="13" t="s">
        <v>130</v>
      </c>
      <c r="B31" s="13"/>
      <c r="C31" s="13" t="e">
        <f>'Appendix C2'!#REF!+C29</f>
        <v>#REF!</v>
      </c>
    </row>
  </sheetData>
  <mergeCells count="1">
    <mergeCell ref="D1:E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6" sqref="A16"/>
    </sheetView>
  </sheetViews>
  <sheetFormatPr defaultColWidth="9.140625" defaultRowHeight="12.75"/>
  <cols>
    <col min="1" max="1" width="36.421875" style="40" customWidth="1"/>
    <col min="2" max="2" width="10.28125" style="40" customWidth="1"/>
    <col min="3" max="3" width="9.8515625" style="40" customWidth="1"/>
    <col min="4" max="4" width="9.421875" style="40" customWidth="1"/>
    <col min="5" max="5" width="9.00390625" style="40" customWidth="1"/>
    <col min="6" max="6" width="9.7109375" style="40" customWidth="1"/>
    <col min="7" max="16384" width="9.140625" style="40" customWidth="1"/>
  </cols>
  <sheetData>
    <row r="1" spans="1:7" ht="15.75">
      <c r="A1" s="119" t="s">
        <v>256</v>
      </c>
      <c r="B1" s="119"/>
      <c r="C1" s="119"/>
      <c r="D1" s="119"/>
      <c r="E1" s="119"/>
      <c r="F1" s="119"/>
      <c r="G1" s="70"/>
    </row>
    <row r="2" spans="1:7" ht="12.75">
      <c r="A2" s="71"/>
      <c r="B2" s="71"/>
      <c r="C2" s="72"/>
      <c r="D2" s="72"/>
      <c r="E2" s="72"/>
      <c r="F2" s="72"/>
      <c r="G2" s="77"/>
    </row>
    <row r="3" spans="1:7" ht="18.75">
      <c r="A3" s="73" t="s">
        <v>219</v>
      </c>
      <c r="B3" s="73"/>
      <c r="C3" s="72"/>
      <c r="D3" s="72"/>
      <c r="E3" s="72"/>
      <c r="F3" s="72"/>
      <c r="G3" s="78"/>
    </row>
    <row r="4" spans="1:7" ht="12.75">
      <c r="A4" s="72"/>
      <c r="B4" s="72"/>
      <c r="C4" s="72"/>
      <c r="D4" s="72"/>
      <c r="E4" s="72"/>
      <c r="F4" s="72"/>
      <c r="G4" s="78"/>
    </row>
    <row r="5" ht="12.75">
      <c r="G5" s="54"/>
    </row>
    <row r="6" ht="12.75">
      <c r="F6" s="61" t="s">
        <v>195</v>
      </c>
    </row>
    <row r="7" spans="1:2" ht="12.75">
      <c r="A7" s="75" t="s">
        <v>235</v>
      </c>
      <c r="B7" s="75"/>
    </row>
    <row r="8" spans="1:2" ht="12.75">
      <c r="A8" s="55"/>
      <c r="B8" s="55"/>
    </row>
    <row r="9" spans="1:2" ht="12.75">
      <c r="A9" s="55" t="s">
        <v>206</v>
      </c>
      <c r="B9" s="55"/>
    </row>
    <row r="10" spans="1:2" s="80" customFormat="1" ht="7.5" customHeight="1">
      <c r="A10" s="79"/>
      <c r="B10" s="79"/>
    </row>
    <row r="11" spans="1:6" ht="12.75">
      <c r="A11" s="40" t="s">
        <v>236</v>
      </c>
      <c r="E11" s="40">
        <v>42</v>
      </c>
      <c r="F11" s="60">
        <v>13</v>
      </c>
    </row>
    <row r="12" spans="1:6" ht="25.5">
      <c r="A12" s="40" t="s">
        <v>315</v>
      </c>
      <c r="B12" s="41" t="s">
        <v>253</v>
      </c>
      <c r="C12" s="41" t="s">
        <v>255</v>
      </c>
      <c r="D12" s="56" t="s">
        <v>98</v>
      </c>
      <c r="F12" s="60"/>
    </row>
    <row r="13" spans="2:7" s="56" customFormat="1" ht="12.75">
      <c r="B13" s="56" t="s">
        <v>254</v>
      </c>
      <c r="C13" s="56" t="s">
        <v>254</v>
      </c>
      <c r="E13" s="41" t="s">
        <v>21</v>
      </c>
      <c r="F13" s="60"/>
      <c r="G13" s="40"/>
    </row>
    <row r="14" spans="3:6" ht="12.75">
      <c r="C14" s="41" t="s">
        <v>21</v>
      </c>
      <c r="F14" s="60"/>
    </row>
    <row r="15" spans="1:6" ht="12.75">
      <c r="A15" s="57"/>
      <c r="B15" s="57">
        <v>-0.5</v>
      </c>
      <c r="C15" s="81">
        <f aca="true" t="shared" si="0" ref="C15:C20">E$11+(E$11*B15)</f>
        <v>21</v>
      </c>
      <c r="D15" s="57">
        <v>0.05</v>
      </c>
      <c r="E15" s="82">
        <f>C15*D15</f>
        <v>1.05</v>
      </c>
      <c r="F15" s="60">
        <v>13</v>
      </c>
    </row>
    <row r="16" spans="1:6" ht="12.75">
      <c r="A16" s="57"/>
      <c r="B16" s="57">
        <v>-0.25</v>
      </c>
      <c r="C16" s="81">
        <f t="shared" si="0"/>
        <v>31.5</v>
      </c>
      <c r="D16" s="57">
        <v>0.25</v>
      </c>
      <c r="E16" s="82">
        <f>C16*D16</f>
        <v>7.875</v>
      </c>
      <c r="F16" s="60">
        <v>13</v>
      </c>
    </row>
    <row r="17" spans="1:6" ht="12.75">
      <c r="A17" s="57"/>
      <c r="B17" s="57">
        <v>-0.1</v>
      </c>
      <c r="C17" s="81">
        <f t="shared" si="0"/>
        <v>37.8</v>
      </c>
      <c r="D17" s="57">
        <v>0.4</v>
      </c>
      <c r="E17" s="82">
        <f>C17*D17</f>
        <v>15.12</v>
      </c>
      <c r="F17" s="60">
        <v>13</v>
      </c>
    </row>
    <row r="18" spans="1:6" ht="12.75">
      <c r="A18" s="57"/>
      <c r="B18" s="57">
        <v>0</v>
      </c>
      <c r="C18" s="81">
        <f t="shared" si="0"/>
        <v>42</v>
      </c>
      <c r="D18" s="57">
        <v>0.15</v>
      </c>
      <c r="E18" s="82">
        <f>C18*D18</f>
        <v>6.3</v>
      </c>
      <c r="F18" s="60">
        <v>13</v>
      </c>
    </row>
    <row r="19" spans="1:6" ht="12.75">
      <c r="A19" s="57"/>
      <c r="B19" s="57">
        <v>0.1</v>
      </c>
      <c r="C19" s="81">
        <f t="shared" si="0"/>
        <v>46.2</v>
      </c>
      <c r="D19" s="57">
        <v>0.1</v>
      </c>
      <c r="E19" s="82">
        <f>C19*D19</f>
        <v>4.62</v>
      </c>
      <c r="F19" s="60">
        <v>13</v>
      </c>
    </row>
    <row r="20" spans="1:6" ht="12.75">
      <c r="A20" s="57"/>
      <c r="B20" s="57">
        <v>0.2</v>
      </c>
      <c r="C20" s="81">
        <f t="shared" si="0"/>
        <v>50.4</v>
      </c>
      <c r="D20" s="57">
        <v>0.05</v>
      </c>
      <c r="E20" s="82">
        <f>C20*D20</f>
        <v>2.52</v>
      </c>
      <c r="F20" s="60">
        <v>13</v>
      </c>
    </row>
    <row r="21" spans="1:7" ht="12.75">
      <c r="A21" s="69" t="s">
        <v>316</v>
      </c>
      <c r="B21" s="69"/>
      <c r="C21" s="55"/>
      <c r="D21" s="58"/>
      <c r="E21" s="83">
        <f>SUM(E15:E20)</f>
        <v>37.48500000000001</v>
      </c>
      <c r="F21" s="60"/>
      <c r="G21" s="112" t="s">
        <v>333</v>
      </c>
    </row>
    <row r="22" ht="12.75">
      <c r="F22" s="60"/>
    </row>
    <row r="23" spans="1:6" ht="12.75">
      <c r="A23" s="55" t="s">
        <v>223</v>
      </c>
      <c r="F23" s="60"/>
    </row>
    <row r="24" spans="3:6" ht="12.75">
      <c r="C24" s="54" t="s">
        <v>204</v>
      </c>
      <c r="D24" s="54" t="s">
        <v>238</v>
      </c>
      <c r="E24" s="91" t="s">
        <v>205</v>
      </c>
      <c r="F24" s="60"/>
    </row>
    <row r="25" spans="3:6" ht="6.75" customHeight="1">
      <c r="C25" s="54"/>
      <c r="D25" s="54"/>
      <c r="E25" s="91"/>
      <c r="F25" s="60"/>
    </row>
    <row r="26" spans="1:6" ht="12.75">
      <c r="A26" s="40" t="s">
        <v>317</v>
      </c>
      <c r="C26" s="90" t="s">
        <v>239</v>
      </c>
      <c r="D26" s="90" t="s">
        <v>209</v>
      </c>
      <c r="E26" s="93" t="s">
        <v>240</v>
      </c>
      <c r="F26" s="60"/>
    </row>
    <row r="27" spans="3:6" ht="12.75">
      <c r="C27" s="54"/>
      <c r="D27" s="54"/>
      <c r="E27" s="91"/>
      <c r="F27" s="60"/>
    </row>
    <row r="28" spans="1:6" ht="12.75">
      <c r="A28" s="40" t="s">
        <v>241</v>
      </c>
      <c r="C28" s="102">
        <f>+D28*0.95</f>
        <v>1140</v>
      </c>
      <c r="D28" s="102">
        <v>1200</v>
      </c>
      <c r="E28" s="102">
        <f>+D28*1.05</f>
        <v>1260</v>
      </c>
      <c r="F28" s="60">
        <v>13</v>
      </c>
    </row>
    <row r="29" spans="1:6" ht="12.75">
      <c r="A29" s="55"/>
      <c r="B29" s="55"/>
      <c r="C29" s="102"/>
      <c r="D29" s="102"/>
      <c r="E29" s="102"/>
      <c r="F29" s="60"/>
    </row>
    <row r="30" spans="1:6" ht="12.75">
      <c r="A30" s="55" t="s">
        <v>65</v>
      </c>
      <c r="B30" s="55"/>
      <c r="C30" s="103" t="s">
        <v>207</v>
      </c>
      <c r="D30" s="103" t="s">
        <v>207</v>
      </c>
      <c r="E30" s="103" t="s">
        <v>207</v>
      </c>
      <c r="F30" s="60"/>
    </row>
    <row r="31" spans="1:6" ht="12.75">
      <c r="A31" s="55"/>
      <c r="B31" s="55"/>
      <c r="C31" s="91"/>
      <c r="D31" s="91"/>
      <c r="E31" s="91"/>
      <c r="F31" s="60"/>
    </row>
    <row r="32" spans="1:6" ht="12.75">
      <c r="A32" s="40" t="s">
        <v>242</v>
      </c>
      <c r="C32" s="91">
        <f>-29*C28</f>
        <v>-33060</v>
      </c>
      <c r="D32" s="91">
        <f>-29*D28</f>
        <v>-34800</v>
      </c>
      <c r="E32" s="91">
        <f>-29*E28</f>
        <v>-36540</v>
      </c>
      <c r="F32" s="60">
        <v>15</v>
      </c>
    </row>
    <row r="33" spans="1:6" ht="12.75">
      <c r="A33" s="40" t="s">
        <v>243</v>
      </c>
      <c r="C33" s="91">
        <f>ROUND(-$E$21*C28,0)</f>
        <v>-42733</v>
      </c>
      <c r="D33" s="91">
        <f>ROUND(-$E$21*D28,0)</f>
        <v>-44982</v>
      </c>
      <c r="E33" s="91">
        <f>ROUND(-$E$21*E28,0)</f>
        <v>-47231</v>
      </c>
      <c r="F33" s="60"/>
    </row>
    <row r="34" spans="1:6" ht="13.5" thickBot="1">
      <c r="A34" s="69" t="s">
        <v>72</v>
      </c>
      <c r="C34" s="100">
        <f>SUM(C32:C33)</f>
        <v>-75793</v>
      </c>
      <c r="D34" s="100">
        <f>SUM(D32:D33)</f>
        <v>-79782</v>
      </c>
      <c r="E34" s="100">
        <f>SUM(E32:E33)</f>
        <v>-83771</v>
      </c>
      <c r="F34" s="60"/>
    </row>
    <row r="35" spans="3:6" ht="13.5" thickTop="1">
      <c r="C35" s="91"/>
      <c r="D35" s="91"/>
      <c r="E35" s="91"/>
      <c r="F35" s="60"/>
    </row>
    <row r="36" spans="1:6" ht="12.75">
      <c r="A36" s="55" t="s">
        <v>78</v>
      </c>
      <c r="C36" s="91"/>
      <c r="D36" s="91"/>
      <c r="E36" s="91"/>
      <c r="F36" s="60"/>
    </row>
    <row r="37" spans="3:6" ht="8.25" customHeight="1">
      <c r="C37" s="91"/>
      <c r="D37" s="91"/>
      <c r="E37" s="91"/>
      <c r="F37" s="60"/>
    </row>
    <row r="38" spans="1:6" ht="12.75">
      <c r="A38" s="40" t="s">
        <v>244</v>
      </c>
      <c r="C38" s="91">
        <v>10611</v>
      </c>
      <c r="D38" s="91">
        <v>10611</v>
      </c>
      <c r="E38" s="91">
        <v>10611</v>
      </c>
      <c r="F38" s="60">
        <v>20</v>
      </c>
    </row>
    <row r="39" spans="1:6" ht="12.75">
      <c r="A39" s="40" t="s">
        <v>245</v>
      </c>
      <c r="C39" s="91">
        <v>2</v>
      </c>
      <c r="D39" s="91">
        <v>2</v>
      </c>
      <c r="E39" s="91">
        <v>2</v>
      </c>
      <c r="F39" s="60">
        <v>20</v>
      </c>
    </row>
    <row r="40" spans="3:6" ht="12.75">
      <c r="C40" s="91"/>
      <c r="D40" s="91"/>
      <c r="E40" s="91"/>
      <c r="F40" s="60"/>
    </row>
    <row r="41" spans="3:6" ht="12.75">
      <c r="C41" s="103" t="s">
        <v>207</v>
      </c>
      <c r="D41" s="103" t="s">
        <v>207</v>
      </c>
      <c r="E41" s="103" t="s">
        <v>207</v>
      </c>
      <c r="F41" s="60"/>
    </row>
    <row r="42" spans="1:6" ht="12.75">
      <c r="A42" s="40" t="s">
        <v>246</v>
      </c>
      <c r="C42" s="91">
        <f>C38*C39</f>
        <v>21222</v>
      </c>
      <c r="D42" s="91">
        <f>D38*D39</f>
        <v>21222</v>
      </c>
      <c r="E42" s="91">
        <f>E38*E39</f>
        <v>21222</v>
      </c>
      <c r="F42" s="60"/>
    </row>
    <row r="43" spans="1:6" ht="12.75">
      <c r="A43" s="40" t="s">
        <v>247</v>
      </c>
      <c r="C43" s="91">
        <f>'Glass Collection'!$B11</f>
        <v>1910</v>
      </c>
      <c r="D43" s="91">
        <f>'Glass Collection'!$B11</f>
        <v>1910</v>
      </c>
      <c r="E43" s="91">
        <f>'Glass Collection'!$B11</f>
        <v>1910</v>
      </c>
      <c r="F43" s="60" t="s">
        <v>305</v>
      </c>
    </row>
    <row r="44" spans="1:6" ht="12.75">
      <c r="A44" s="40" t="s">
        <v>248</v>
      </c>
      <c r="C44" s="91">
        <f>'Glass Collection'!$B12</f>
        <v>3183</v>
      </c>
      <c r="D44" s="91">
        <f>'Glass Collection'!$B12</f>
        <v>3183</v>
      </c>
      <c r="E44" s="91">
        <f>'Glass Collection'!$B12</f>
        <v>3183</v>
      </c>
      <c r="F44" s="60" t="s">
        <v>305</v>
      </c>
    </row>
    <row r="45" spans="3:6" ht="12.75">
      <c r="C45" s="101">
        <f>SUM(C42:C44)</f>
        <v>26315</v>
      </c>
      <c r="D45" s="101">
        <f>SUM(D42:D44)</f>
        <v>26315</v>
      </c>
      <c r="E45" s="101">
        <f>SUM(E42:E44)</f>
        <v>26315</v>
      </c>
      <c r="F45" s="60"/>
    </row>
    <row r="46" spans="3:6" ht="12.75">
      <c r="C46" s="91"/>
      <c r="D46" s="91"/>
      <c r="E46" s="91"/>
      <c r="F46" s="60"/>
    </row>
    <row r="47" spans="1:6" ht="12.75">
      <c r="A47" s="55" t="s">
        <v>75</v>
      </c>
      <c r="C47" s="103" t="s">
        <v>207</v>
      </c>
      <c r="D47" s="103" t="s">
        <v>207</v>
      </c>
      <c r="E47" s="103" t="s">
        <v>207</v>
      </c>
      <c r="F47" s="60"/>
    </row>
    <row r="48" spans="3:6" ht="6.75" customHeight="1">
      <c r="C48" s="91"/>
      <c r="D48" s="91"/>
      <c r="E48" s="91"/>
      <c r="F48" s="60"/>
    </row>
    <row r="49" spans="1:6" ht="12.75">
      <c r="A49" s="40" t="s">
        <v>216</v>
      </c>
      <c r="C49" s="91">
        <f>+C45</f>
        <v>26315</v>
      </c>
      <c r="D49" s="91">
        <f>+D45</f>
        <v>26315</v>
      </c>
      <c r="E49" s="91">
        <f>+E45</f>
        <v>26315</v>
      </c>
      <c r="F49" s="60"/>
    </row>
    <row r="50" spans="1:6" ht="12.75">
      <c r="A50" s="40" t="s">
        <v>249</v>
      </c>
      <c r="C50" s="91">
        <f>'Glass Collection'!$B23</f>
        <v>12000</v>
      </c>
      <c r="D50" s="91">
        <f>'Glass Collection'!$B23</f>
        <v>12000</v>
      </c>
      <c r="E50" s="91">
        <f>'Glass Collection'!$B23</f>
        <v>12000</v>
      </c>
      <c r="F50" s="60">
        <v>20</v>
      </c>
    </row>
    <row r="51" spans="1:6" ht="12.75">
      <c r="A51" s="40" t="s">
        <v>250</v>
      </c>
      <c r="C51" s="91">
        <f>C28*30</f>
        <v>34200</v>
      </c>
      <c r="D51" s="91">
        <f>D28*30</f>
        <v>36000</v>
      </c>
      <c r="E51" s="91">
        <f>E28*30</f>
        <v>37800</v>
      </c>
      <c r="F51" s="60">
        <v>20</v>
      </c>
    </row>
    <row r="52" spans="1:6" ht="12.75">
      <c r="A52" s="40" t="s">
        <v>251</v>
      </c>
      <c r="C52" s="91">
        <v>10000</v>
      </c>
      <c r="D52" s="91">
        <v>10000</v>
      </c>
      <c r="E52" s="91">
        <v>10000</v>
      </c>
      <c r="F52" s="60">
        <v>20</v>
      </c>
    </row>
    <row r="53" spans="1:7" ht="13.5" thickBot="1">
      <c r="A53" s="69" t="s">
        <v>80</v>
      </c>
      <c r="C53" s="100">
        <f>SUM(C49:C52)</f>
        <v>82515</v>
      </c>
      <c r="D53" s="100">
        <f>SUM(D49:D52)</f>
        <v>84315</v>
      </c>
      <c r="E53" s="100">
        <f>SUM(E49:E52)</f>
        <v>86115</v>
      </c>
      <c r="F53" s="60"/>
      <c r="G53" s="113"/>
    </row>
    <row r="54" spans="3:6" ht="13.5" thickTop="1">
      <c r="C54" s="91"/>
      <c r="D54" s="91"/>
      <c r="E54" s="91"/>
      <c r="F54" s="60"/>
    </row>
    <row r="55" spans="1:6" ht="12.75">
      <c r="A55" s="55" t="s">
        <v>115</v>
      </c>
      <c r="B55" s="55"/>
      <c r="C55" s="103" t="s">
        <v>207</v>
      </c>
      <c r="D55" s="103" t="s">
        <v>207</v>
      </c>
      <c r="E55" s="103" t="s">
        <v>207</v>
      </c>
      <c r="F55" s="60"/>
    </row>
    <row r="56" spans="1:6" ht="8.25" customHeight="1">
      <c r="A56" s="55"/>
      <c r="B56" s="55"/>
      <c r="C56" s="94"/>
      <c r="D56" s="94"/>
      <c r="E56" s="94"/>
      <c r="F56" s="60"/>
    </row>
    <row r="57" spans="1:6" ht="12.75">
      <c r="A57" s="55" t="s">
        <v>217</v>
      </c>
      <c r="B57" s="55"/>
      <c r="C57" s="104">
        <f>+C34</f>
        <v>-75793</v>
      </c>
      <c r="D57" s="104">
        <f>+D34</f>
        <v>-79782</v>
      </c>
      <c r="E57" s="104">
        <f>+E34</f>
        <v>-83771</v>
      </c>
      <c r="F57" s="60"/>
    </row>
    <row r="58" spans="1:6" ht="12.75">
      <c r="A58" s="55" t="s">
        <v>252</v>
      </c>
      <c r="B58" s="55"/>
      <c r="C58" s="104">
        <f>+C53</f>
        <v>82515</v>
      </c>
      <c r="D58" s="104">
        <f>+D53</f>
        <v>84315</v>
      </c>
      <c r="E58" s="104">
        <f>+E53</f>
        <v>86115</v>
      </c>
      <c r="F58" s="60"/>
    </row>
    <row r="59" spans="1:6" ht="13.5" thickBot="1">
      <c r="A59" s="55"/>
      <c r="B59" s="55"/>
      <c r="C59" s="100">
        <f>+C57+C58</f>
        <v>6722</v>
      </c>
      <c r="D59" s="100">
        <f>+D57+D58</f>
        <v>4533</v>
      </c>
      <c r="E59" s="100">
        <f>+E57+E58</f>
        <v>2344</v>
      </c>
      <c r="F59" s="60"/>
    </row>
    <row r="60" spans="1:6" ht="7.5" customHeight="1" thickTop="1">
      <c r="A60" s="55"/>
      <c r="B60" s="55"/>
      <c r="C60" s="94"/>
      <c r="D60" s="94"/>
      <c r="E60" s="94"/>
      <c r="F60" s="60"/>
    </row>
    <row r="61" spans="1:7" ht="12.75">
      <c r="A61" s="55" t="s">
        <v>35</v>
      </c>
      <c r="B61" s="55"/>
      <c r="C61" s="53">
        <f>C59/C28</f>
        <v>5.896491228070175</v>
      </c>
      <c r="D61" s="53">
        <f>D59/D28</f>
        <v>3.7775</v>
      </c>
      <c r="E61" s="53">
        <f>E59/E28</f>
        <v>1.8603174603174604</v>
      </c>
      <c r="F61" s="60"/>
      <c r="G61" s="112" t="s">
        <v>335</v>
      </c>
    </row>
  </sheetData>
  <mergeCells count="1">
    <mergeCell ref="A1:F1"/>
  </mergeCells>
  <printOptions horizontalCentered="1"/>
  <pageMargins left="0.7480314960629921" right="0.21" top="0.51" bottom="0.56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6">
      <selection activeCell="B17" sqref="B17"/>
    </sheetView>
  </sheetViews>
  <sheetFormatPr defaultColWidth="9.140625" defaultRowHeight="12.75"/>
  <cols>
    <col min="1" max="1" width="30.421875" style="40" customWidth="1"/>
    <col min="2" max="3" width="10.8515625" style="40" customWidth="1"/>
    <col min="4" max="4" width="12.57421875" style="40" customWidth="1"/>
    <col min="5" max="5" width="10.28125" style="40" customWidth="1"/>
    <col min="6" max="6" width="9.7109375" style="40" customWidth="1"/>
    <col min="7" max="7" width="9.140625" style="40" customWidth="1"/>
    <col min="8" max="16384" width="35.00390625" style="40" customWidth="1"/>
  </cols>
  <sheetData>
    <row r="1" spans="1:7" ht="15.75">
      <c r="A1" s="119" t="s">
        <v>257</v>
      </c>
      <c r="B1" s="119"/>
      <c r="C1" s="119"/>
      <c r="D1" s="119"/>
      <c r="E1" s="119"/>
      <c r="F1" s="119"/>
      <c r="G1" s="70"/>
    </row>
    <row r="2" spans="1:7" ht="12.75">
      <c r="A2" s="71"/>
      <c r="B2" s="71"/>
      <c r="C2" s="71"/>
      <c r="D2" s="72"/>
      <c r="E2" s="72"/>
      <c r="F2" s="72"/>
      <c r="G2" s="77"/>
    </row>
    <row r="3" spans="1:7" ht="18.75">
      <c r="A3" s="73" t="s">
        <v>219</v>
      </c>
      <c r="B3" s="73"/>
      <c r="C3" s="73"/>
      <c r="D3" s="72"/>
      <c r="E3" s="72"/>
      <c r="F3" s="72"/>
      <c r="G3" s="77"/>
    </row>
    <row r="4" spans="1:7" ht="12.75">
      <c r="A4" s="72"/>
      <c r="B4" s="72"/>
      <c r="C4" s="72"/>
      <c r="D4" s="72"/>
      <c r="E4" s="72"/>
      <c r="F4" s="72"/>
      <c r="G4" s="77"/>
    </row>
    <row r="6" spans="6:7" ht="12.75">
      <c r="F6" s="61" t="s">
        <v>195</v>
      </c>
      <c r="G6" s="61"/>
    </row>
    <row r="7" spans="1:2" ht="12.75">
      <c r="A7" s="55" t="s">
        <v>318</v>
      </c>
      <c r="B7" s="55"/>
    </row>
    <row r="8" spans="3:5" ht="12.75">
      <c r="C8" s="41" t="s">
        <v>201</v>
      </c>
      <c r="D8" s="41" t="s">
        <v>7</v>
      </c>
      <c r="E8" s="41" t="s">
        <v>267</v>
      </c>
    </row>
    <row r="9" spans="3:5" ht="12.75">
      <c r="C9" s="41" t="s">
        <v>264</v>
      </c>
      <c r="D9" s="41" t="s">
        <v>265</v>
      </c>
      <c r="E9" s="41" t="s">
        <v>266</v>
      </c>
    </row>
    <row r="10" ht="12.75">
      <c r="A10" s="55" t="s">
        <v>258</v>
      </c>
    </row>
    <row r="11" ht="7.5" customHeight="1">
      <c r="A11" s="55"/>
    </row>
    <row r="12" spans="1:6" ht="12.75">
      <c r="A12" s="40" t="s">
        <v>259</v>
      </c>
      <c r="B12" s="40" t="s">
        <v>306</v>
      </c>
      <c r="C12" s="91">
        <v>14</v>
      </c>
      <c r="D12" s="91">
        <v>14</v>
      </c>
      <c r="E12" s="54">
        <v>14</v>
      </c>
      <c r="F12" s="84">
        <v>24</v>
      </c>
    </row>
    <row r="13" spans="1:6" ht="12.75">
      <c r="A13" s="40" t="s">
        <v>260</v>
      </c>
      <c r="B13" s="40" t="s">
        <v>307</v>
      </c>
      <c r="C13" s="91">
        <v>307</v>
      </c>
      <c r="D13" s="91">
        <v>1295</v>
      </c>
      <c r="E13" s="54">
        <v>15.26</v>
      </c>
      <c r="F13" s="84">
        <v>24</v>
      </c>
    </row>
    <row r="14" spans="1:6" ht="12.75">
      <c r="A14" s="40" t="s">
        <v>297</v>
      </c>
      <c r="B14" s="40" t="s">
        <v>169</v>
      </c>
      <c r="C14" s="91">
        <v>6891</v>
      </c>
      <c r="D14" s="91">
        <v>124411</v>
      </c>
      <c r="E14" s="54">
        <v>17.0252</v>
      </c>
      <c r="F14" s="84">
        <v>24</v>
      </c>
    </row>
    <row r="15" spans="1:6" ht="12.75">
      <c r="A15" s="40" t="s">
        <v>261</v>
      </c>
      <c r="B15" s="40" t="s">
        <v>308</v>
      </c>
      <c r="C15" s="54">
        <v>340.24</v>
      </c>
      <c r="D15" s="54">
        <v>1451.29</v>
      </c>
      <c r="E15" s="41" t="s">
        <v>351</v>
      </c>
      <c r="F15" s="84">
        <v>24</v>
      </c>
    </row>
    <row r="16" ht="7.5" customHeight="1"/>
    <row r="17" ht="12.75">
      <c r="A17" s="55" t="s">
        <v>262</v>
      </c>
    </row>
    <row r="18" ht="6.75" customHeight="1"/>
    <row r="19" spans="2:4" ht="12.75">
      <c r="B19" s="40" t="s">
        <v>270</v>
      </c>
      <c r="C19" s="120" t="s">
        <v>320</v>
      </c>
      <c r="D19" s="120"/>
    </row>
    <row r="20" ht="15.75">
      <c r="C20" s="40" t="s">
        <v>319</v>
      </c>
    </row>
    <row r="21" ht="7.5" customHeight="1"/>
    <row r="22" spans="1:4" ht="12.75">
      <c r="A22" s="40" t="s">
        <v>268</v>
      </c>
      <c r="B22" s="40" t="s">
        <v>197</v>
      </c>
      <c r="C22" s="40">
        <f>+C12*C15</f>
        <v>4763.360000000001</v>
      </c>
      <c r="D22" s="40">
        <f>+D12*D15</f>
        <v>20318.059999999998</v>
      </c>
    </row>
    <row r="23" spans="1:4" ht="12.75">
      <c r="A23" s="40" t="s">
        <v>263</v>
      </c>
      <c r="B23" s="40" t="s">
        <v>198</v>
      </c>
      <c r="C23" s="40">
        <f>+C13*E13</f>
        <v>4684.82</v>
      </c>
      <c r="D23" s="40">
        <f>+D13*E13</f>
        <v>19761.7</v>
      </c>
    </row>
    <row r="24" spans="1:4" ht="12.75">
      <c r="A24" s="40" t="s">
        <v>278</v>
      </c>
      <c r="B24" s="40" t="s">
        <v>199</v>
      </c>
      <c r="C24" s="40">
        <f>+C22-C23</f>
        <v>78.54000000000087</v>
      </c>
      <c r="D24" s="40">
        <f>+D22-D23</f>
        <v>556.359999999997</v>
      </c>
    </row>
    <row r="25" ht="7.5" customHeight="1"/>
    <row r="26" spans="1:4" ht="12.75">
      <c r="A26" s="40" t="s">
        <v>299</v>
      </c>
      <c r="B26" s="40" t="s">
        <v>210</v>
      </c>
      <c r="C26" s="40">
        <f>+C12*C14</f>
        <v>96474</v>
      </c>
      <c r="D26" s="40">
        <f>+D12*D14</f>
        <v>1741754</v>
      </c>
    </row>
    <row r="27" spans="1:4" ht="12.75">
      <c r="A27" s="40" t="s">
        <v>298</v>
      </c>
      <c r="B27" s="40" t="s">
        <v>211</v>
      </c>
      <c r="C27" s="40">
        <f>+C13*C13</f>
        <v>94249</v>
      </c>
      <c r="D27" s="40">
        <f>+D13*D13</f>
        <v>1677025</v>
      </c>
    </row>
    <row r="28" spans="1:4" ht="12.75">
      <c r="A28" s="40" t="s">
        <v>279</v>
      </c>
      <c r="B28" s="40" t="s">
        <v>212</v>
      </c>
      <c r="C28" s="40">
        <f>+C26-C27</f>
        <v>2225</v>
      </c>
      <c r="D28" s="40">
        <f>+D26-D27</f>
        <v>64729</v>
      </c>
    </row>
    <row r="29" spans="1:4" ht="12.75">
      <c r="A29" s="40" t="s">
        <v>269</v>
      </c>
      <c r="B29" s="40" t="s">
        <v>213</v>
      </c>
      <c r="C29" s="40">
        <f>SQRT(C28)</f>
        <v>47.16990566028302</v>
      </c>
      <c r="D29" s="40">
        <f>SQRT(D28)</f>
        <v>254.41894583540747</v>
      </c>
    </row>
    <row r="30" ht="6.75" customHeight="1"/>
    <row r="31" spans="1:4" ht="12.75">
      <c r="A31" s="40" t="s">
        <v>300</v>
      </c>
      <c r="B31" s="40" t="s">
        <v>214</v>
      </c>
      <c r="C31" s="40">
        <f>+C12*E14</f>
        <v>238.35280000000003</v>
      </c>
      <c r="D31" s="40">
        <f>+C31</f>
        <v>238.35280000000003</v>
      </c>
    </row>
    <row r="32" spans="1:4" ht="12.75">
      <c r="A32" s="40" t="s">
        <v>301</v>
      </c>
      <c r="B32" s="40" t="s">
        <v>215</v>
      </c>
      <c r="C32" s="40">
        <f>+E13*E13</f>
        <v>232.86759999999998</v>
      </c>
      <c r="D32" s="40">
        <f>+C32</f>
        <v>232.86759999999998</v>
      </c>
    </row>
    <row r="33" spans="1:4" ht="12.75">
      <c r="A33" s="40" t="s">
        <v>280</v>
      </c>
      <c r="B33" s="40" t="s">
        <v>271</v>
      </c>
      <c r="C33" s="40">
        <v>5.55</v>
      </c>
      <c r="D33" s="40">
        <v>5.55</v>
      </c>
    </row>
    <row r="34" spans="1:6" ht="12.75">
      <c r="A34" s="40" t="s">
        <v>269</v>
      </c>
      <c r="B34" s="40" t="s">
        <v>272</v>
      </c>
      <c r="C34" s="40">
        <f>SQRT(C33)</f>
        <v>2.355843797877949</v>
      </c>
      <c r="D34" s="40">
        <f>SQRT(D33)</f>
        <v>2.355843797877949</v>
      </c>
      <c r="F34" s="53"/>
    </row>
    <row r="35" ht="7.5" customHeight="1">
      <c r="F35" s="53"/>
    </row>
    <row r="36" spans="1:6" ht="12.75">
      <c r="A36" s="40" t="s">
        <v>321</v>
      </c>
      <c r="B36" s="40" t="s">
        <v>273</v>
      </c>
      <c r="C36" s="40">
        <f>(+C29*C34)-0.04</f>
        <v>111.08492969626572</v>
      </c>
      <c r="D36" s="40">
        <f>(+D29*D34)-0.25</f>
        <v>599.1212956089905</v>
      </c>
      <c r="F36" s="53"/>
    </row>
    <row r="37" ht="12.75">
      <c r="F37" s="53"/>
    </row>
    <row r="38" spans="1:6" ht="12.75">
      <c r="A38" s="40" t="s">
        <v>274</v>
      </c>
      <c r="B38" s="40" t="s">
        <v>281</v>
      </c>
      <c r="C38" s="55">
        <f>+C24/C36</f>
        <v>0.7070265986101724</v>
      </c>
      <c r="D38" s="55">
        <f>+D24/D36</f>
        <v>0.9286266471874817</v>
      </c>
      <c r="F38" s="53"/>
    </row>
    <row r="39" spans="1:7" ht="12.75">
      <c r="A39" s="40" t="s">
        <v>322</v>
      </c>
      <c r="C39" s="55">
        <f>(+C38*C38)-0.005</f>
        <v>0.4948866111422698</v>
      </c>
      <c r="D39" s="55">
        <f>(+D38*D38)-0.01</f>
        <v>0.8523474498666636</v>
      </c>
      <c r="F39" s="53"/>
      <c r="G39" s="112" t="s">
        <v>336</v>
      </c>
    </row>
    <row r="40" ht="12.75">
      <c r="F40" s="53"/>
    </row>
    <row r="41" spans="1:6" ht="12.75">
      <c r="A41" s="75" t="s">
        <v>323</v>
      </c>
      <c r="F41" s="53"/>
    </row>
    <row r="42" spans="1:6" ht="12.75">
      <c r="A42" s="95" t="s">
        <v>324</v>
      </c>
      <c r="F42" s="53"/>
    </row>
    <row r="43" spans="1:6" ht="12.75">
      <c r="A43" s="95" t="s">
        <v>325</v>
      </c>
      <c r="F43" s="53"/>
    </row>
    <row r="44" spans="1:6" ht="12.75">
      <c r="A44" s="95"/>
      <c r="F44" s="53"/>
    </row>
    <row r="45" spans="1:6" ht="15.75">
      <c r="A45" s="119" t="s">
        <v>257</v>
      </c>
      <c r="B45" s="119"/>
      <c r="C45" s="119"/>
      <c r="D45" s="119"/>
      <c r="E45" s="119"/>
      <c r="F45" s="119"/>
    </row>
    <row r="46" spans="1:6" ht="12.75">
      <c r="A46" s="71"/>
      <c r="B46" s="71"/>
      <c r="C46" s="71"/>
      <c r="D46" s="72"/>
      <c r="E46" s="72"/>
      <c r="F46" s="72"/>
    </row>
    <row r="47" spans="1:6" ht="18.75">
      <c r="A47" s="73" t="s">
        <v>219</v>
      </c>
      <c r="B47" s="73"/>
      <c r="C47" s="73"/>
      <c r="D47" s="72"/>
      <c r="E47" s="72"/>
      <c r="F47" s="72"/>
    </row>
    <row r="48" spans="1:6" ht="12.75">
      <c r="A48" s="72"/>
      <c r="B48" s="72"/>
      <c r="C48" s="72"/>
      <c r="D48" s="72"/>
      <c r="E48" s="72"/>
      <c r="F48" s="72"/>
    </row>
    <row r="50" ht="12.75">
      <c r="F50" s="61" t="s">
        <v>195</v>
      </c>
    </row>
    <row r="51" spans="1:2" ht="12.75">
      <c r="A51" s="55" t="s">
        <v>318</v>
      </c>
      <c r="B51" s="55"/>
    </row>
    <row r="52" spans="3:5" ht="12.75">
      <c r="C52" s="41" t="s">
        <v>201</v>
      </c>
      <c r="D52" s="41" t="s">
        <v>7</v>
      </c>
      <c r="E52" s="41" t="s">
        <v>267</v>
      </c>
    </row>
    <row r="53" spans="3:5" ht="12.75">
      <c r="C53" s="41" t="s">
        <v>264</v>
      </c>
      <c r="D53" s="41" t="s">
        <v>265</v>
      </c>
      <c r="E53" s="41" t="s">
        <v>266</v>
      </c>
    </row>
    <row r="54" ht="12.75">
      <c r="A54" s="55" t="s">
        <v>258</v>
      </c>
    </row>
    <row r="55" ht="12.75">
      <c r="A55" s="55"/>
    </row>
    <row r="56" spans="1:6" ht="12.75">
      <c r="A56" s="40" t="s">
        <v>259</v>
      </c>
      <c r="B56" s="40" t="s">
        <v>306</v>
      </c>
      <c r="C56" s="91">
        <v>14</v>
      </c>
      <c r="D56" s="91">
        <v>14</v>
      </c>
      <c r="E56" s="54">
        <v>14</v>
      </c>
      <c r="F56" s="84">
        <v>24</v>
      </c>
    </row>
    <row r="57" spans="1:6" ht="12.75">
      <c r="A57" s="40" t="s">
        <v>260</v>
      </c>
      <c r="B57" s="40" t="s">
        <v>307</v>
      </c>
      <c r="C57" s="91">
        <v>307</v>
      </c>
      <c r="D57" s="91">
        <v>1295</v>
      </c>
      <c r="E57" s="54">
        <v>15.26</v>
      </c>
      <c r="F57" s="84">
        <v>24</v>
      </c>
    </row>
    <row r="58" spans="1:6" ht="12.75">
      <c r="A58" s="40" t="s">
        <v>297</v>
      </c>
      <c r="B58" s="40" t="s">
        <v>169</v>
      </c>
      <c r="C58" s="91">
        <v>6891</v>
      </c>
      <c r="D58" s="91">
        <v>124411</v>
      </c>
      <c r="E58" s="54">
        <v>17.0252</v>
      </c>
      <c r="F58" s="84">
        <v>24</v>
      </c>
    </row>
    <row r="59" spans="1:6" ht="12.75">
      <c r="A59" s="40" t="s">
        <v>261</v>
      </c>
      <c r="B59" s="40" t="s">
        <v>308</v>
      </c>
      <c r="C59" s="54">
        <v>340.24</v>
      </c>
      <c r="D59" s="54">
        <v>1451.29</v>
      </c>
      <c r="E59" s="41" t="s">
        <v>351</v>
      </c>
      <c r="F59" s="84">
        <v>24</v>
      </c>
    </row>
    <row r="61" ht="12.75">
      <c r="A61" s="55" t="s">
        <v>262</v>
      </c>
    </row>
    <row r="63" spans="1:4" ht="12.75">
      <c r="A63" s="54" t="s">
        <v>270</v>
      </c>
      <c r="C63" s="120" t="s">
        <v>320</v>
      </c>
      <c r="D63" s="120"/>
    </row>
    <row r="64" ht="15.75">
      <c r="C64" s="40" t="s">
        <v>319</v>
      </c>
    </row>
    <row r="65" spans="1:6" ht="12.75">
      <c r="A65" s="95"/>
      <c r="F65" s="53"/>
    </row>
    <row r="66" spans="1:6" ht="12.75">
      <c r="A66" s="117" t="s">
        <v>201</v>
      </c>
      <c r="B66" s="120" t="s">
        <v>339</v>
      </c>
      <c r="C66" s="120"/>
      <c r="D66" s="120"/>
      <c r="E66" s="120"/>
      <c r="F66" s="53"/>
    </row>
    <row r="67" spans="1:6" ht="15.75">
      <c r="A67" s="95"/>
      <c r="B67" s="121" t="s">
        <v>340</v>
      </c>
      <c r="C67" s="121"/>
      <c r="D67" s="121"/>
      <c r="E67" s="121"/>
      <c r="F67" s="53"/>
    </row>
    <row r="68" spans="1:6" ht="12.75">
      <c r="A68" s="95"/>
      <c r="F68" s="53"/>
    </row>
    <row r="69" spans="1:6" ht="12.75">
      <c r="A69" s="95"/>
      <c r="B69" s="120" t="s">
        <v>346</v>
      </c>
      <c r="C69" s="120"/>
      <c r="D69" s="120"/>
      <c r="E69" s="120"/>
      <c r="F69" s="53"/>
    </row>
    <row r="70" spans="1:6" ht="15.75">
      <c r="A70" s="95"/>
      <c r="B70" s="121" t="s">
        <v>341</v>
      </c>
      <c r="C70" s="121"/>
      <c r="D70" s="121"/>
      <c r="E70" s="121"/>
      <c r="F70" s="53"/>
    </row>
    <row r="71" spans="1:6" ht="12.75">
      <c r="A71" s="95"/>
      <c r="B71" s="109"/>
      <c r="C71" s="109"/>
      <c r="D71" s="109"/>
      <c r="E71" s="109"/>
      <c r="F71" s="53"/>
    </row>
    <row r="72" spans="1:6" ht="12.75">
      <c r="A72" s="95"/>
      <c r="B72" s="120">
        <v>78.54</v>
      </c>
      <c r="C72" s="120"/>
      <c r="D72" s="120"/>
      <c r="E72" s="120"/>
      <c r="F72" s="53"/>
    </row>
    <row r="73" spans="1:6" ht="15.75">
      <c r="A73" s="95"/>
      <c r="B73" s="121" t="s">
        <v>342</v>
      </c>
      <c r="C73" s="121"/>
      <c r="D73" s="121"/>
      <c r="E73" s="121"/>
      <c r="F73" s="53"/>
    </row>
    <row r="74" spans="1:6" ht="12.75">
      <c r="A74" s="95"/>
      <c r="F74" s="53"/>
    </row>
    <row r="75" spans="1:6" ht="12.75">
      <c r="A75" s="95"/>
      <c r="B75" s="111">
        <v>78.54</v>
      </c>
      <c r="C75" s="116" t="s">
        <v>159</v>
      </c>
      <c r="D75" s="111">
        <v>78.54</v>
      </c>
      <c r="E75" s="113">
        <v>0.71</v>
      </c>
      <c r="F75" s="53"/>
    </row>
    <row r="76" spans="1:6" ht="15.75">
      <c r="A76" s="95"/>
      <c r="B76" s="114" t="s">
        <v>343</v>
      </c>
      <c r="C76" s="115"/>
      <c r="D76" s="114">
        <v>110.38</v>
      </c>
      <c r="E76" s="115"/>
      <c r="F76" s="53"/>
    </row>
    <row r="77" spans="1:6" ht="12.75">
      <c r="A77" s="95"/>
      <c r="B77" s="115"/>
      <c r="C77" s="115"/>
      <c r="D77" s="115"/>
      <c r="E77" s="115"/>
      <c r="F77" s="53"/>
    </row>
    <row r="78" spans="1:6" ht="12.75">
      <c r="A78" s="117" t="s">
        <v>7</v>
      </c>
      <c r="B78" s="120" t="s">
        <v>344</v>
      </c>
      <c r="C78" s="120"/>
      <c r="D78" s="120"/>
      <c r="E78" s="120"/>
      <c r="F78" s="53"/>
    </row>
    <row r="79" spans="1:6" ht="15.75">
      <c r="A79" s="95"/>
      <c r="B79" s="121" t="s">
        <v>345</v>
      </c>
      <c r="C79" s="121"/>
      <c r="D79" s="121"/>
      <c r="E79" s="121"/>
      <c r="F79" s="53"/>
    </row>
    <row r="80" spans="1:6" ht="12.75">
      <c r="A80" s="95"/>
      <c r="F80" s="53"/>
    </row>
    <row r="81" spans="1:6" ht="12.75">
      <c r="A81" s="95"/>
      <c r="B81" s="120" t="s">
        <v>347</v>
      </c>
      <c r="C81" s="120"/>
      <c r="D81" s="120"/>
      <c r="E81" s="120"/>
      <c r="F81" s="53"/>
    </row>
    <row r="82" spans="1:6" ht="15.75">
      <c r="A82" s="95"/>
      <c r="B82" s="121" t="s">
        <v>348</v>
      </c>
      <c r="C82" s="121"/>
      <c r="D82" s="121"/>
      <c r="E82" s="121"/>
      <c r="F82" s="53"/>
    </row>
    <row r="83" spans="1:6" ht="12.75">
      <c r="A83" s="95"/>
      <c r="B83" s="109"/>
      <c r="C83" s="109"/>
      <c r="D83" s="109"/>
      <c r="E83" s="109"/>
      <c r="F83" s="53"/>
    </row>
    <row r="84" spans="1:6" ht="12.75">
      <c r="A84" s="95"/>
      <c r="B84" s="120">
        <v>556.36</v>
      </c>
      <c r="C84" s="120"/>
      <c r="D84" s="120"/>
      <c r="E84" s="120"/>
      <c r="F84" s="53"/>
    </row>
    <row r="85" spans="1:6" ht="15.75">
      <c r="A85" s="95"/>
      <c r="B85" s="121" t="s">
        <v>349</v>
      </c>
      <c r="C85" s="121"/>
      <c r="D85" s="121"/>
      <c r="E85" s="121"/>
      <c r="F85" s="53"/>
    </row>
    <row r="86" spans="1:6" ht="12.75">
      <c r="A86" s="95"/>
      <c r="F86" s="53"/>
    </row>
    <row r="87" spans="1:6" ht="12.75">
      <c r="A87" s="95"/>
      <c r="B87" s="111">
        <v>556.36</v>
      </c>
      <c r="C87" s="116" t="s">
        <v>159</v>
      </c>
      <c r="D87" s="111">
        <v>556.36</v>
      </c>
      <c r="E87" s="113">
        <v>0.93</v>
      </c>
      <c r="F87" s="53"/>
    </row>
    <row r="88" spans="1:6" ht="12.75">
      <c r="A88" s="95"/>
      <c r="B88" s="114" t="s">
        <v>350</v>
      </c>
      <c r="C88" s="115"/>
      <c r="D88" s="114">
        <v>595.34</v>
      </c>
      <c r="E88" s="115"/>
      <c r="F88" s="53"/>
    </row>
    <row r="89" spans="1:6" ht="12.75">
      <c r="A89" s="95"/>
      <c r="B89" s="115"/>
      <c r="C89" s="115"/>
      <c r="D89" s="115"/>
      <c r="E89" s="115"/>
      <c r="F89" s="53"/>
    </row>
    <row r="90" spans="1:6" ht="15.75">
      <c r="A90" s="119" t="s">
        <v>257</v>
      </c>
      <c r="B90" s="119"/>
      <c r="C90" s="119"/>
      <c r="D90" s="119"/>
      <c r="E90" s="119"/>
      <c r="F90" s="119"/>
    </row>
    <row r="91" spans="1:6" ht="12.75">
      <c r="A91" s="71"/>
      <c r="B91" s="71"/>
      <c r="C91" s="71"/>
      <c r="D91" s="72"/>
      <c r="E91" s="72"/>
      <c r="F91" s="72"/>
    </row>
    <row r="92" spans="1:6" ht="18.75">
      <c r="A92" s="73" t="s">
        <v>219</v>
      </c>
      <c r="B92" s="73"/>
      <c r="C92" s="73"/>
      <c r="D92" s="72"/>
      <c r="E92" s="72"/>
      <c r="F92" s="72"/>
    </row>
    <row r="93" spans="1:6" ht="12.75">
      <c r="A93" s="72"/>
      <c r="B93" s="72"/>
      <c r="C93" s="72"/>
      <c r="D93" s="72"/>
      <c r="E93" s="72"/>
      <c r="F93" s="72"/>
    </row>
    <row r="95" ht="12.75">
      <c r="F95" s="61" t="s">
        <v>195</v>
      </c>
    </row>
    <row r="96" spans="1:6" ht="12.75">
      <c r="A96" s="75" t="s">
        <v>275</v>
      </c>
      <c r="F96" s="53"/>
    </row>
    <row r="97" ht="7.5" customHeight="1">
      <c r="F97" s="53"/>
    </row>
    <row r="98" spans="2:6" ht="12.75">
      <c r="B98" s="40" t="s">
        <v>276</v>
      </c>
      <c r="C98" s="87" t="s">
        <v>326</v>
      </c>
      <c r="D98" s="86"/>
      <c r="F98" s="53"/>
    </row>
    <row r="99" spans="3:6" ht="15.75">
      <c r="C99" s="86" t="s">
        <v>302</v>
      </c>
      <c r="D99" s="86"/>
      <c r="F99" s="53"/>
    </row>
    <row r="100" ht="12.75">
      <c r="F100" s="53"/>
    </row>
    <row r="101" spans="2:6" ht="16.5">
      <c r="B101" s="40" t="s">
        <v>277</v>
      </c>
      <c r="C101" s="41" t="s">
        <v>282</v>
      </c>
      <c r="D101" s="40" t="s">
        <v>327</v>
      </c>
      <c r="F101" s="53"/>
    </row>
    <row r="102" ht="12.75">
      <c r="F102" s="53"/>
    </row>
    <row r="103" spans="1:6" ht="12.75">
      <c r="A103" s="40" t="s">
        <v>283</v>
      </c>
      <c r="B103" s="40" t="s">
        <v>284</v>
      </c>
      <c r="C103" s="88"/>
      <c r="D103" s="97">
        <f>+D24/D28</f>
        <v>0.008595220071374452</v>
      </c>
      <c r="F103" s="53"/>
    </row>
    <row r="104" ht="12.75">
      <c r="F104" s="53"/>
    </row>
    <row r="105" spans="1:6" ht="15.75">
      <c r="A105" s="40" t="s">
        <v>310</v>
      </c>
      <c r="B105" s="40" t="s">
        <v>285</v>
      </c>
      <c r="D105" s="98">
        <f>+E13/E12</f>
        <v>1.09</v>
      </c>
      <c r="F105" s="53"/>
    </row>
    <row r="106" spans="1:6" ht="15.75">
      <c r="A106" s="40" t="s">
        <v>311</v>
      </c>
      <c r="B106" s="40" t="s">
        <v>287</v>
      </c>
      <c r="D106" s="98">
        <f>+D13/D12</f>
        <v>92.5</v>
      </c>
      <c r="F106" s="53"/>
    </row>
    <row r="107" ht="12.75">
      <c r="F107" s="53"/>
    </row>
    <row r="108" spans="1:6" ht="12.75">
      <c r="A108" s="40" t="s">
        <v>289</v>
      </c>
      <c r="B108" s="40" t="s">
        <v>288</v>
      </c>
      <c r="C108" s="88"/>
      <c r="D108" s="97">
        <f>(+D105-(D106*D103))+0.000021</f>
        <v>0.2949631433978633</v>
      </c>
      <c r="F108" s="53"/>
    </row>
    <row r="109" ht="12.75">
      <c r="F109" s="53"/>
    </row>
    <row r="110" spans="1:6" ht="12.75">
      <c r="A110" s="75" t="s">
        <v>309</v>
      </c>
      <c r="F110" s="53"/>
    </row>
    <row r="111" ht="8.25" customHeight="1">
      <c r="F111" s="53"/>
    </row>
    <row r="112" spans="1:6" ht="12.75">
      <c r="A112" s="40" t="s">
        <v>286</v>
      </c>
      <c r="F112" s="53"/>
    </row>
    <row r="113" ht="12.75">
      <c r="F113" s="53"/>
    </row>
    <row r="114" spans="1:7" ht="12.75">
      <c r="A114" s="40" t="s">
        <v>290</v>
      </c>
      <c r="D114" s="89">
        <f>(+D108+(D103*94.5))-0.00004</f>
        <v>1.107171440142749</v>
      </c>
      <c r="E114" s="40" t="s">
        <v>291</v>
      </c>
      <c r="F114" s="53"/>
      <c r="G114" s="112" t="s">
        <v>337</v>
      </c>
    </row>
    <row r="115" spans="4:7" ht="12.75">
      <c r="D115" s="127"/>
      <c r="F115" s="53"/>
      <c r="G115" s="113"/>
    </row>
    <row r="116" spans="1:7" ht="12.75">
      <c r="A116" s="75" t="s">
        <v>309</v>
      </c>
      <c r="D116" s="127"/>
      <c r="F116" s="53"/>
      <c r="G116" s="113"/>
    </row>
    <row r="117" spans="4:7" ht="12.75">
      <c r="D117" s="127"/>
      <c r="F117" s="53"/>
      <c r="G117" s="113"/>
    </row>
    <row r="118" spans="2:7" ht="12.75">
      <c r="B118" s="40" t="s">
        <v>276</v>
      </c>
      <c r="C118" s="87" t="s">
        <v>326</v>
      </c>
      <c r="D118" s="86"/>
      <c r="F118" s="53"/>
      <c r="G118" s="113"/>
    </row>
    <row r="119" spans="3:7" ht="15.75">
      <c r="C119" s="86" t="s">
        <v>302</v>
      </c>
      <c r="D119" s="86"/>
      <c r="F119" s="53"/>
      <c r="G119" s="113"/>
    </row>
    <row r="120" spans="4:7" ht="12.75">
      <c r="D120" s="127"/>
      <c r="F120" s="53"/>
      <c r="G120" s="113"/>
    </row>
    <row r="121" spans="2:7" ht="12.75">
      <c r="B121" s="40" t="s">
        <v>276</v>
      </c>
      <c r="C121" s="128" t="s">
        <v>352</v>
      </c>
      <c r="D121" s="120"/>
      <c r="E121" s="120"/>
      <c r="F121" s="53"/>
      <c r="G121" s="113"/>
    </row>
    <row r="122" spans="3:7" ht="12.75">
      <c r="C122" s="129" t="s">
        <v>353</v>
      </c>
      <c r="D122" s="121"/>
      <c r="E122" s="121"/>
      <c r="F122" s="53"/>
      <c r="G122" s="113"/>
    </row>
    <row r="123" spans="4:7" ht="12.75">
      <c r="D123" s="127"/>
      <c r="F123" s="53"/>
      <c r="G123" s="113"/>
    </row>
    <row r="124" spans="2:7" ht="12.75">
      <c r="B124" s="40" t="s">
        <v>276</v>
      </c>
      <c r="C124" s="128" t="s">
        <v>354</v>
      </c>
      <c r="D124" s="128"/>
      <c r="E124" s="130" t="s">
        <v>159</v>
      </c>
      <c r="F124" s="111">
        <v>556.36</v>
      </c>
      <c r="G124" s="113"/>
    </row>
    <row r="125" spans="3:7" ht="12.75">
      <c r="C125" s="129" t="s">
        <v>355</v>
      </c>
      <c r="D125" s="121"/>
      <c r="F125" s="84">
        <v>64729</v>
      </c>
      <c r="G125" s="113"/>
    </row>
    <row r="126" spans="4:7" ht="12.75">
      <c r="D126" s="127"/>
      <c r="F126" s="53"/>
      <c r="G126" s="113"/>
    </row>
    <row r="127" spans="2:7" ht="12.75">
      <c r="B127" s="40" t="s">
        <v>276</v>
      </c>
      <c r="C127" s="132">
        <v>0.0085952</v>
      </c>
      <c r="D127" s="127"/>
      <c r="F127" s="53"/>
      <c r="G127" s="113"/>
    </row>
    <row r="128" spans="4:7" ht="12.75">
      <c r="D128" s="127"/>
      <c r="F128" s="53"/>
      <c r="G128" s="113"/>
    </row>
    <row r="129" spans="2:7" ht="16.5">
      <c r="B129" s="40" t="s">
        <v>277</v>
      </c>
      <c r="C129" s="41" t="s">
        <v>282</v>
      </c>
      <c r="D129" s="40" t="s">
        <v>327</v>
      </c>
      <c r="F129" s="53"/>
      <c r="G129" s="113"/>
    </row>
    <row r="130" spans="4:7" ht="12.75">
      <c r="D130" s="127"/>
      <c r="F130" s="53"/>
      <c r="G130" s="113"/>
    </row>
    <row r="131" spans="2:7" ht="12.75">
      <c r="B131" s="40" t="s">
        <v>277</v>
      </c>
      <c r="C131" s="111">
        <v>15.26</v>
      </c>
      <c r="D131" s="133" t="s">
        <v>209</v>
      </c>
      <c r="E131" s="134" t="s">
        <v>356</v>
      </c>
      <c r="F131" s="135">
        <v>1295</v>
      </c>
      <c r="G131" s="113"/>
    </row>
    <row r="132" spans="3:7" ht="12.75">
      <c r="C132" s="84">
        <v>14</v>
      </c>
      <c r="D132" s="127"/>
      <c r="F132" s="84">
        <v>14</v>
      </c>
      <c r="G132" s="113"/>
    </row>
    <row r="133" spans="4:7" ht="12.75">
      <c r="D133" s="127"/>
      <c r="F133" s="53"/>
      <c r="G133" s="113"/>
    </row>
    <row r="134" spans="2:7" ht="12.75">
      <c r="B134" s="40" t="s">
        <v>277</v>
      </c>
      <c r="C134" s="40">
        <v>1.09</v>
      </c>
      <c r="D134" s="133" t="s">
        <v>209</v>
      </c>
      <c r="E134" s="134" t="s">
        <v>356</v>
      </c>
      <c r="F134" s="41">
        <v>92.5</v>
      </c>
      <c r="G134" s="113"/>
    </row>
    <row r="135" spans="4:7" ht="12.75">
      <c r="D135" s="127"/>
      <c r="F135" s="53"/>
      <c r="G135" s="113"/>
    </row>
    <row r="136" spans="2:7" ht="12.75">
      <c r="B136" s="40" t="s">
        <v>277</v>
      </c>
      <c r="C136" s="40">
        <v>1.09</v>
      </c>
      <c r="D136" s="133" t="s">
        <v>209</v>
      </c>
      <c r="E136" s="131">
        <v>0.0795056</v>
      </c>
      <c r="F136" s="53"/>
      <c r="G136" s="113"/>
    </row>
    <row r="137" spans="4:7" ht="12.75">
      <c r="D137" s="127"/>
      <c r="F137" s="53"/>
      <c r="G137" s="113"/>
    </row>
    <row r="138" spans="2:7" ht="12.75">
      <c r="B138" s="40" t="s">
        <v>277</v>
      </c>
      <c r="C138" s="97">
        <v>0.294944</v>
      </c>
      <c r="D138" s="127"/>
      <c r="F138" s="53"/>
      <c r="G138" s="113"/>
    </row>
    <row r="139" spans="3:7" ht="12.75">
      <c r="C139" s="136"/>
      <c r="D139" s="127"/>
      <c r="F139" s="53"/>
      <c r="G139" s="113"/>
    </row>
    <row r="140" spans="2:7" ht="12.75">
      <c r="B140" s="40" t="s">
        <v>357</v>
      </c>
      <c r="C140" s="137">
        <v>0.294944</v>
      </c>
      <c r="D140" s="133" t="s">
        <v>358</v>
      </c>
      <c r="E140" s="40" t="s">
        <v>359</v>
      </c>
      <c r="F140" s="53"/>
      <c r="G140" s="113"/>
    </row>
    <row r="141" spans="3:7" ht="12.75">
      <c r="C141" s="136"/>
      <c r="D141" s="127"/>
      <c r="F141" s="53"/>
      <c r="G141" s="113"/>
    </row>
    <row r="142" spans="2:7" ht="12.75">
      <c r="B142" s="40" t="s">
        <v>357</v>
      </c>
      <c r="C142" s="137">
        <v>0.294944</v>
      </c>
      <c r="D142" s="133" t="s">
        <v>358</v>
      </c>
      <c r="E142" s="131">
        <v>0.8122464</v>
      </c>
      <c r="F142" s="53"/>
      <c r="G142" s="113"/>
    </row>
    <row r="143" spans="3:7" ht="12.75">
      <c r="C143" s="136"/>
      <c r="D143" s="127"/>
      <c r="F143" s="53"/>
      <c r="G143" s="113"/>
    </row>
    <row r="144" spans="2:7" ht="12.75">
      <c r="B144" s="40" t="s">
        <v>357</v>
      </c>
      <c r="C144" s="89">
        <v>1.10717</v>
      </c>
      <c r="D144" s="127"/>
      <c r="F144" s="53"/>
      <c r="G144" s="113"/>
    </row>
    <row r="145" spans="3:7" ht="12.75">
      <c r="C145" s="136"/>
      <c r="D145" s="127"/>
      <c r="F145" s="53"/>
      <c r="G145" s="113"/>
    </row>
    <row r="146" spans="1:6" ht="15.75">
      <c r="A146" s="119" t="s">
        <v>257</v>
      </c>
      <c r="B146" s="119"/>
      <c r="C146" s="119"/>
      <c r="D146" s="119"/>
      <c r="E146" s="119"/>
      <c r="F146" s="119"/>
    </row>
    <row r="147" spans="1:6" ht="12.75">
      <c r="A147" s="71"/>
      <c r="B147" s="71"/>
      <c r="C147" s="71"/>
      <c r="D147" s="72"/>
      <c r="E147" s="72"/>
      <c r="F147" s="72"/>
    </row>
    <row r="148" spans="1:6" ht="18.75">
      <c r="A148" s="73" t="s">
        <v>219</v>
      </c>
      <c r="B148" s="73"/>
      <c r="C148" s="73"/>
      <c r="D148" s="72"/>
      <c r="E148" s="72"/>
      <c r="F148" s="72"/>
    </row>
    <row r="149" spans="1:6" ht="12.75">
      <c r="A149" s="72"/>
      <c r="B149" s="72"/>
      <c r="C149" s="72"/>
      <c r="D149" s="72"/>
      <c r="E149" s="72"/>
      <c r="F149" s="72"/>
    </row>
    <row r="151" ht="12.75">
      <c r="F151" s="61" t="s">
        <v>195</v>
      </c>
    </row>
    <row r="152" spans="1:2" ht="12.75">
      <c r="A152" s="75" t="s">
        <v>292</v>
      </c>
      <c r="B152" s="55"/>
    </row>
    <row r="154" spans="1:6" ht="12.75">
      <c r="A154" s="40" t="s">
        <v>33</v>
      </c>
      <c r="E154" s="98">
        <f>General!C10</f>
        <v>29</v>
      </c>
      <c r="F154" s="60">
        <v>15</v>
      </c>
    </row>
    <row r="155" ht="12.75">
      <c r="F155" s="60"/>
    </row>
    <row r="156" spans="1:6" ht="12.75">
      <c r="A156" s="40" t="s">
        <v>185</v>
      </c>
      <c r="C156" s="42"/>
      <c r="E156" s="42">
        <v>1107</v>
      </c>
      <c r="F156" s="60" t="s">
        <v>312</v>
      </c>
    </row>
    <row r="157" spans="5:6" ht="12.75">
      <c r="E157" s="42"/>
      <c r="F157" s="60"/>
    </row>
    <row r="158" spans="3:6" ht="12.75">
      <c r="C158" s="41"/>
      <c r="E158" s="96" t="s">
        <v>21</v>
      </c>
      <c r="F158" s="60"/>
    </row>
    <row r="159" spans="1:6" ht="12.75">
      <c r="A159" s="40" t="s">
        <v>328</v>
      </c>
      <c r="C159" s="42"/>
      <c r="E159" s="42">
        <f>ROUND(-E154*E156,0)</f>
        <v>-32103</v>
      </c>
      <c r="F159" s="60"/>
    </row>
    <row r="160" spans="1:6" ht="12.75">
      <c r="A160" s="40" t="s">
        <v>114</v>
      </c>
      <c r="C160" s="42"/>
      <c r="E160" s="42">
        <v>75000</v>
      </c>
      <c r="F160" s="60">
        <v>4</v>
      </c>
    </row>
    <row r="161" spans="1:6" ht="13.5" thickBot="1">
      <c r="A161" s="55" t="s">
        <v>115</v>
      </c>
      <c r="B161" s="55"/>
      <c r="C161" s="42"/>
      <c r="E161" s="105">
        <f>E160+E159</f>
        <v>42897</v>
      </c>
      <c r="F161" s="60"/>
    </row>
    <row r="162" ht="13.5" thickTop="1">
      <c r="F162" s="60"/>
    </row>
    <row r="163" spans="1:7" ht="12.75">
      <c r="A163" s="55" t="s">
        <v>35</v>
      </c>
      <c r="B163" s="55"/>
      <c r="C163" s="55"/>
      <c r="E163" s="55">
        <f>E161/E156</f>
        <v>38.75067750677507</v>
      </c>
      <c r="F163" s="60"/>
      <c r="G163" s="112" t="s">
        <v>334</v>
      </c>
    </row>
    <row r="164" ht="12.75">
      <c r="F164" s="60"/>
    </row>
    <row r="165" spans="1:6" ht="15.75">
      <c r="A165" s="119" t="s">
        <v>293</v>
      </c>
      <c r="B165" s="119"/>
      <c r="C165" s="119"/>
      <c r="D165" s="119"/>
      <c r="E165" s="119"/>
      <c r="F165" s="119"/>
    </row>
    <row r="166" spans="1:6" ht="12.75">
      <c r="A166" s="71"/>
      <c r="B166" s="71"/>
      <c r="C166" s="71"/>
      <c r="D166" s="72"/>
      <c r="E166" s="72"/>
      <c r="F166" s="72"/>
    </row>
    <row r="167" spans="1:6" ht="18.75">
      <c r="A167" s="73" t="s">
        <v>219</v>
      </c>
      <c r="B167" s="73"/>
      <c r="C167" s="73"/>
      <c r="D167" s="72"/>
      <c r="E167" s="72"/>
      <c r="F167" s="72"/>
    </row>
    <row r="168" spans="1:6" ht="12.75">
      <c r="A168" s="72"/>
      <c r="B168" s="72"/>
      <c r="C168" s="72"/>
      <c r="D168" s="72"/>
      <c r="E168" s="72"/>
      <c r="F168" s="72"/>
    </row>
    <row r="170" ht="12.75">
      <c r="F170" s="61" t="s">
        <v>195</v>
      </c>
    </row>
    <row r="171" spans="1:6" ht="12.75">
      <c r="A171" s="75" t="s">
        <v>329</v>
      </c>
      <c r="F171" s="60"/>
    </row>
    <row r="172" ht="12.75">
      <c r="F172" s="60"/>
    </row>
    <row r="173" spans="1:6" ht="12.75">
      <c r="A173" s="40" t="s">
        <v>140</v>
      </c>
      <c r="C173" s="68"/>
      <c r="D173" s="68"/>
      <c r="E173" s="68">
        <v>17000</v>
      </c>
      <c r="F173" s="60">
        <v>14</v>
      </c>
    </row>
    <row r="174" spans="3:6" ht="12.75">
      <c r="C174" s="68"/>
      <c r="D174" s="68"/>
      <c r="E174" s="68"/>
      <c r="F174" s="60"/>
    </row>
    <row r="175" spans="1:6" ht="12.75">
      <c r="A175" s="40" t="s">
        <v>171</v>
      </c>
      <c r="C175" s="68"/>
      <c r="D175" s="68"/>
      <c r="E175" s="68">
        <f>E173*0.1</f>
        <v>1700</v>
      </c>
      <c r="F175" s="60" t="s">
        <v>303</v>
      </c>
    </row>
    <row r="176" spans="3:6" ht="12.75">
      <c r="C176" s="68"/>
      <c r="D176" s="68"/>
      <c r="E176" s="68"/>
      <c r="F176" s="60"/>
    </row>
    <row r="177" spans="3:6" ht="12.75">
      <c r="C177" s="122" t="s">
        <v>143</v>
      </c>
      <c r="D177" s="122"/>
      <c r="E177" s="122"/>
      <c r="F177" s="60"/>
    </row>
    <row r="178" spans="3:6" s="56" customFormat="1" ht="12.75">
      <c r="C178" s="99" t="s">
        <v>138</v>
      </c>
      <c r="D178" s="99" t="s">
        <v>144</v>
      </c>
      <c r="E178" s="99" t="s">
        <v>139</v>
      </c>
      <c r="F178" s="66"/>
    </row>
    <row r="179" spans="3:6" s="56" customFormat="1" ht="12.75">
      <c r="C179" s="99" t="s">
        <v>32</v>
      </c>
      <c r="D179" s="99" t="s">
        <v>32</v>
      </c>
      <c r="E179" s="99" t="s">
        <v>32</v>
      </c>
      <c r="F179" s="66"/>
    </row>
    <row r="180" spans="1:6" ht="12.75">
      <c r="A180" s="40" t="s">
        <v>141</v>
      </c>
      <c r="C180" s="42">
        <f>'Appendix C1'!C39</f>
        <v>306.18</v>
      </c>
      <c r="D180" s="42">
        <f>'Appendix C1'!D39</f>
        <v>459.27</v>
      </c>
      <c r="E180" s="42">
        <f>'Appendix C1'!E39</f>
        <v>612.36</v>
      </c>
      <c r="F180" s="60" t="s">
        <v>313</v>
      </c>
    </row>
    <row r="181" spans="1:6" ht="12.75">
      <c r="A181" s="40" t="s">
        <v>196</v>
      </c>
      <c r="C181" s="42">
        <f>'Appendix C2'!C28:E28</f>
        <v>1140</v>
      </c>
      <c r="D181" s="42">
        <f>'Appendix C2'!D28:F28</f>
        <v>1200</v>
      </c>
      <c r="E181" s="42">
        <f>'Appendix C2'!E28:G28</f>
        <v>1260</v>
      </c>
      <c r="F181" s="60" t="s">
        <v>314</v>
      </c>
    </row>
    <row r="182" spans="1:6" ht="12.75">
      <c r="A182" s="40" t="s">
        <v>142</v>
      </c>
      <c r="C182" s="42">
        <f>D182</f>
        <v>1107</v>
      </c>
      <c r="D182" s="42">
        <f>E156</f>
        <v>1107</v>
      </c>
      <c r="E182" s="42">
        <f>D182</f>
        <v>1107</v>
      </c>
      <c r="F182" s="60" t="s">
        <v>312</v>
      </c>
    </row>
    <row r="183" spans="3:6" ht="12.75">
      <c r="C183" s="42"/>
      <c r="D183" s="42"/>
      <c r="E183" s="42"/>
      <c r="F183" s="60"/>
    </row>
    <row r="184" spans="3:6" ht="12.75">
      <c r="C184" s="123" t="s">
        <v>294</v>
      </c>
      <c r="D184" s="123"/>
      <c r="E184" s="123"/>
      <c r="F184" s="60"/>
    </row>
    <row r="185" spans="3:6" ht="12.75">
      <c r="C185" s="106" t="s">
        <v>138</v>
      </c>
      <c r="D185" s="106" t="s">
        <v>144</v>
      </c>
      <c r="E185" s="106" t="s">
        <v>139</v>
      </c>
      <c r="F185" s="60"/>
    </row>
    <row r="186" spans="3:6" ht="12.75">
      <c r="C186" s="107" t="s">
        <v>21</v>
      </c>
      <c r="D186" s="107" t="s">
        <v>21</v>
      </c>
      <c r="E186" s="107" t="s">
        <v>21</v>
      </c>
      <c r="F186" s="60"/>
    </row>
    <row r="187" spans="1:6" ht="12.75">
      <c r="A187" s="40" t="s">
        <v>141</v>
      </c>
      <c r="C187" s="42">
        <f>'Appendix C1'!C46</f>
        <v>-8879.22</v>
      </c>
      <c r="D187" s="42">
        <f>'Appendix C1'!D46</f>
        <v>-13318.83</v>
      </c>
      <c r="E187" s="42">
        <f>'Appendix C1'!E46</f>
        <v>-17758.44</v>
      </c>
      <c r="F187" s="60" t="s">
        <v>313</v>
      </c>
    </row>
    <row r="188" spans="1:6" ht="12.75">
      <c r="A188" s="40" t="s">
        <v>196</v>
      </c>
      <c r="C188" s="42">
        <f>'Appendix C2'!C59</f>
        <v>6722</v>
      </c>
      <c r="D188" s="42">
        <f>'Appendix C2'!D59</f>
        <v>4533</v>
      </c>
      <c r="E188" s="42">
        <f>'Appendix C2'!E59</f>
        <v>2344</v>
      </c>
      <c r="F188" s="60" t="s">
        <v>314</v>
      </c>
    </row>
    <row r="189" spans="1:6" ht="12.75">
      <c r="A189" s="40" t="s">
        <v>142</v>
      </c>
      <c r="C189" s="42">
        <f>D189</f>
        <v>42897</v>
      </c>
      <c r="D189" s="42">
        <f>E161</f>
        <v>42897</v>
      </c>
      <c r="E189" s="42">
        <f>D189</f>
        <v>42897</v>
      </c>
      <c r="F189" s="60" t="s">
        <v>312</v>
      </c>
    </row>
    <row r="190" ht="12.75">
      <c r="F190" s="60"/>
    </row>
    <row r="191" spans="3:6" ht="12.75">
      <c r="C191" s="118" t="s">
        <v>145</v>
      </c>
      <c r="D191" s="118"/>
      <c r="E191" s="118"/>
      <c r="F191" s="60"/>
    </row>
    <row r="192" spans="3:6" ht="12.75">
      <c r="C192" s="56" t="s">
        <v>138</v>
      </c>
      <c r="D192" s="56" t="s">
        <v>144</v>
      </c>
      <c r="E192" s="56" t="s">
        <v>139</v>
      </c>
      <c r="F192" s="60"/>
    </row>
    <row r="193" spans="3:6" ht="12.75">
      <c r="C193" s="59" t="s">
        <v>21</v>
      </c>
      <c r="D193" s="59" t="s">
        <v>21</v>
      </c>
      <c r="E193" s="59" t="s">
        <v>21</v>
      </c>
      <c r="F193" s="60"/>
    </row>
    <row r="194" spans="1:6" ht="12.75">
      <c r="A194" s="40" t="s">
        <v>141</v>
      </c>
      <c r="C194" s="40">
        <f aca="true" t="shared" si="0" ref="C194:E196">+C187/C180</f>
        <v>-28.999999999999996</v>
      </c>
      <c r="D194" s="40">
        <f t="shared" si="0"/>
        <v>-29</v>
      </c>
      <c r="E194" s="40">
        <f t="shared" si="0"/>
        <v>-28.999999999999996</v>
      </c>
      <c r="F194" s="60" t="s">
        <v>313</v>
      </c>
    </row>
    <row r="195" spans="1:6" ht="12.75">
      <c r="A195" s="40" t="s">
        <v>196</v>
      </c>
      <c r="C195" s="40">
        <f t="shared" si="0"/>
        <v>5.896491228070175</v>
      </c>
      <c r="D195" s="40">
        <f t="shared" si="0"/>
        <v>3.7775</v>
      </c>
      <c r="E195" s="40">
        <f t="shared" si="0"/>
        <v>1.8603174603174604</v>
      </c>
      <c r="F195" s="60" t="s">
        <v>314</v>
      </c>
    </row>
    <row r="196" spans="1:6" ht="12.75">
      <c r="A196" s="40" t="s">
        <v>142</v>
      </c>
      <c r="C196" s="40">
        <f t="shared" si="0"/>
        <v>38.75067750677507</v>
      </c>
      <c r="D196" s="40">
        <f t="shared" si="0"/>
        <v>38.75067750677507</v>
      </c>
      <c r="E196" s="40">
        <f t="shared" si="0"/>
        <v>38.75067750677507</v>
      </c>
      <c r="F196" s="60" t="s">
        <v>312</v>
      </c>
    </row>
    <row r="197" ht="12.75">
      <c r="F197" s="60"/>
    </row>
    <row r="198" spans="3:6" ht="12.75">
      <c r="C198" s="118" t="s">
        <v>146</v>
      </c>
      <c r="D198" s="118"/>
      <c r="E198" s="118"/>
      <c r="F198" s="60"/>
    </row>
    <row r="199" spans="3:6" s="56" customFormat="1" ht="25.5">
      <c r="C199" s="56" t="s">
        <v>295</v>
      </c>
      <c r="D199" s="56" t="s">
        <v>296</v>
      </c>
      <c r="E199" s="56" t="s">
        <v>145</v>
      </c>
      <c r="F199" s="66"/>
    </row>
    <row r="200" spans="3:6" ht="12.75">
      <c r="C200" s="56" t="s">
        <v>32</v>
      </c>
      <c r="D200" s="59" t="s">
        <v>21</v>
      </c>
      <c r="E200" s="59" t="s">
        <v>21</v>
      </c>
      <c r="F200" s="60"/>
    </row>
    <row r="201" spans="1:6" ht="12.75">
      <c r="A201" s="40" t="s">
        <v>141</v>
      </c>
      <c r="C201" s="42">
        <f>E180-C180</f>
        <v>306.18</v>
      </c>
      <c r="D201" s="42">
        <f>(E187-C187)*-1</f>
        <v>8879.22</v>
      </c>
      <c r="E201" s="40">
        <f>(E194-C194)*-1</f>
        <v>0</v>
      </c>
      <c r="F201" s="60"/>
    </row>
    <row r="202" spans="1:6" ht="12.75">
      <c r="A202" s="40" t="s">
        <v>196</v>
      </c>
      <c r="C202" s="42">
        <f>E181-C181</f>
        <v>120</v>
      </c>
      <c r="D202" s="42">
        <f>(E188-C188)*-1</f>
        <v>4378</v>
      </c>
      <c r="E202" s="40">
        <f>(E195-C195)*-1</f>
        <v>4.0361737677527145</v>
      </c>
      <c r="F202" s="60"/>
    </row>
    <row r="203" spans="1:7" ht="12.75">
      <c r="A203" s="40" t="s">
        <v>142</v>
      </c>
      <c r="C203" s="42">
        <f>E182-C182</f>
        <v>0</v>
      </c>
      <c r="D203" s="42">
        <f>(E189-C189)*-1</f>
        <v>0</v>
      </c>
      <c r="E203" s="40">
        <f>(E196-C196)*-1</f>
        <v>0</v>
      </c>
      <c r="F203" s="60"/>
      <c r="G203" s="112" t="s">
        <v>332</v>
      </c>
    </row>
    <row r="205" ht="12.75">
      <c r="A205" s="75" t="s">
        <v>330</v>
      </c>
    </row>
    <row r="206" spans="1:5" ht="25.5">
      <c r="A206" s="75"/>
      <c r="C206" s="56" t="s">
        <v>295</v>
      </c>
      <c r="D206" s="56" t="s">
        <v>296</v>
      </c>
      <c r="E206" s="56" t="s">
        <v>145</v>
      </c>
    </row>
    <row r="207" spans="1:5" ht="12.75">
      <c r="A207" s="75"/>
      <c r="C207" s="56" t="s">
        <v>32</v>
      </c>
      <c r="D207" s="59" t="s">
        <v>21</v>
      </c>
      <c r="E207" s="59" t="s">
        <v>21</v>
      </c>
    </row>
    <row r="208" spans="1:5" ht="12.75">
      <c r="A208" s="40" t="s">
        <v>141</v>
      </c>
      <c r="C208" s="42">
        <v>459</v>
      </c>
      <c r="D208" s="42">
        <f>+D187</f>
        <v>-13318.83</v>
      </c>
      <c r="E208" s="40">
        <f>+E194</f>
        <v>-28.999999999999996</v>
      </c>
    </row>
    <row r="209" spans="1:5" ht="12.75">
      <c r="A209" s="40" t="s">
        <v>196</v>
      </c>
      <c r="C209" s="42">
        <v>1200</v>
      </c>
      <c r="D209" s="42">
        <f>+D188</f>
        <v>4533</v>
      </c>
      <c r="E209" s="40">
        <v>3.78</v>
      </c>
    </row>
    <row r="210" spans="3:5" ht="13.5" thickBot="1">
      <c r="C210" s="108">
        <f>+C208+C209</f>
        <v>1659</v>
      </c>
      <c r="D210" s="108">
        <f>+D208+D209</f>
        <v>-8785.83</v>
      </c>
      <c r="E210" s="109"/>
    </row>
    <row r="211" ht="13.5" thickTop="1"/>
    <row r="212" spans="1:7" ht="13.5" thickBot="1">
      <c r="A212" s="40" t="s">
        <v>331</v>
      </c>
      <c r="C212" s="110">
        <f>+E175</f>
        <v>1700</v>
      </c>
      <c r="G212" s="112" t="s">
        <v>338</v>
      </c>
    </row>
    <row r="213" ht="13.5" thickTop="1"/>
  </sheetData>
  <mergeCells count="27">
    <mergeCell ref="A1:F1"/>
    <mergeCell ref="C198:E198"/>
    <mergeCell ref="C177:E177"/>
    <mergeCell ref="C184:E184"/>
    <mergeCell ref="C191:E191"/>
    <mergeCell ref="C19:D19"/>
    <mergeCell ref="A146:F146"/>
    <mergeCell ref="A90:F90"/>
    <mergeCell ref="A45:F45"/>
    <mergeCell ref="C121:E121"/>
    <mergeCell ref="C63:D63"/>
    <mergeCell ref="B66:E66"/>
    <mergeCell ref="B67:E67"/>
    <mergeCell ref="A165:F165"/>
    <mergeCell ref="C122:E122"/>
    <mergeCell ref="C124:D124"/>
    <mergeCell ref="C125:D125"/>
    <mergeCell ref="B84:E84"/>
    <mergeCell ref="B85:E85"/>
    <mergeCell ref="B69:E69"/>
    <mergeCell ref="B70:E70"/>
    <mergeCell ref="B72:E72"/>
    <mergeCell ref="B73:E73"/>
    <mergeCell ref="B78:E78"/>
    <mergeCell ref="B79:E79"/>
    <mergeCell ref="B81:E81"/>
    <mergeCell ref="B82:E82"/>
  </mergeCells>
  <printOptions horizontalCentered="1"/>
  <pageMargins left="0.7480314960629921" right="0.14" top="0.51" bottom="0.52" header="0.5118110236220472" footer="0.5118110236220472"/>
  <pageSetup horizontalDpi="200" verticalDpi="200" orientation="portrait" paperSize="9" r:id="rId1"/>
  <rowBreaks count="3" manualBreakCount="3">
    <brk id="89" max="255" man="1"/>
    <brk id="145" max="255" man="1"/>
    <brk id="1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">
      <pane ySplit="2" topLeftCell="BM3" activePane="bottomLeft" state="frozen"/>
      <selection pane="topLeft" activeCell="F20" sqref="F20"/>
      <selection pane="bottomLeft" activeCell="A18" sqref="A18"/>
    </sheetView>
  </sheetViews>
  <sheetFormatPr defaultColWidth="9.140625" defaultRowHeight="12.75"/>
  <cols>
    <col min="1" max="1" width="13.28125" style="1" bestFit="1" customWidth="1"/>
    <col min="2" max="2" width="12.00390625" style="1" customWidth="1"/>
    <col min="3" max="3" width="19.140625" style="1" bestFit="1" customWidth="1"/>
    <col min="4" max="4" width="13.28125" style="6" bestFit="1" customWidth="1"/>
    <col min="5" max="5" width="17.421875" style="1" bestFit="1" customWidth="1"/>
    <col min="6" max="6" width="9.140625" style="1" bestFit="1" customWidth="1"/>
    <col min="7" max="7" width="8.28125" style="1" bestFit="1" customWidth="1"/>
    <col min="8" max="8" width="13.28125" style="1" bestFit="1" customWidth="1"/>
    <col min="9" max="9" width="8.57421875" style="1" bestFit="1" customWidth="1"/>
    <col min="10" max="10" width="13.28125" style="1" bestFit="1" customWidth="1"/>
    <col min="11" max="11" width="7.421875" style="1" customWidth="1"/>
    <col min="12" max="12" width="5.57421875" style="1" customWidth="1"/>
    <col min="13" max="16384" width="14.00390625" style="1" customWidth="1"/>
  </cols>
  <sheetData>
    <row r="1" spans="1:11" s="63" customFormat="1" ht="25.5">
      <c r="A1" s="51" t="s">
        <v>201</v>
      </c>
      <c r="B1" s="63" t="s">
        <v>147</v>
      </c>
      <c r="D1" s="64"/>
      <c r="K1" s="65" t="s">
        <v>195</v>
      </c>
    </row>
    <row r="2" spans="1:10" s="7" customFormat="1" ht="12.75">
      <c r="A2" s="7" t="s">
        <v>148</v>
      </c>
      <c r="B2" s="7" t="s">
        <v>149</v>
      </c>
      <c r="C2" s="7" t="s">
        <v>150</v>
      </c>
      <c r="D2" s="12" t="s">
        <v>151</v>
      </c>
      <c r="E2" s="7" t="s">
        <v>152</v>
      </c>
      <c r="F2" s="7" t="s">
        <v>153</v>
      </c>
      <c r="G2" s="7" t="s">
        <v>154</v>
      </c>
      <c r="H2" s="7" t="s">
        <v>155</v>
      </c>
      <c r="I2" s="7" t="s">
        <v>156</v>
      </c>
      <c r="J2" s="7" t="s">
        <v>157</v>
      </c>
    </row>
    <row r="3" spans="1:11" ht="12.75">
      <c r="A3" s="6">
        <v>22</v>
      </c>
      <c r="B3" s="6">
        <v>1350</v>
      </c>
      <c r="C3" s="1">
        <f aca="true" t="shared" si="0" ref="C3:C16">A3^2</f>
        <v>484</v>
      </c>
      <c r="D3" s="6">
        <f aca="true" t="shared" si="1" ref="D3:D16">B3^2</f>
        <v>1822500</v>
      </c>
      <c r="E3" s="1">
        <f aca="true" t="shared" si="2" ref="E3:E16">A3*B3</f>
        <v>29700</v>
      </c>
      <c r="F3" s="1">
        <f aca="true" t="shared" si="3" ref="F3:F16">C$36+(C$32*A3)</f>
        <v>1087.450890817725</v>
      </c>
      <c r="G3" s="1">
        <f aca="true" t="shared" si="4" ref="G3:G16">F3-H$23</f>
        <v>-2.5491091822750604</v>
      </c>
      <c r="H3" s="1">
        <f aca="true" t="shared" si="5" ref="H3:H16">G3^2</f>
        <v>6.497957623159027</v>
      </c>
      <c r="I3" s="1">
        <f aca="true" t="shared" si="6" ref="I3:I16">B3-H$23</f>
        <v>260</v>
      </c>
      <c r="J3" s="1">
        <f aca="true" t="shared" si="7" ref="J3:J16">I3^2</f>
        <v>67600</v>
      </c>
      <c r="K3" s="62">
        <v>27</v>
      </c>
    </row>
    <row r="4" spans="1:11" ht="12.75">
      <c r="A4" s="6">
        <v>26</v>
      </c>
      <c r="B4" s="6">
        <v>1270</v>
      </c>
      <c r="C4" s="1">
        <f t="shared" si="0"/>
        <v>676</v>
      </c>
      <c r="D4" s="6">
        <f t="shared" si="1"/>
        <v>1612900</v>
      </c>
      <c r="E4" s="1">
        <f t="shared" si="2"/>
        <v>33020</v>
      </c>
      <c r="F4" s="1">
        <f t="shared" si="3"/>
        <v>1135.034262220192</v>
      </c>
      <c r="G4" s="1">
        <f t="shared" si="4"/>
        <v>45.03426222019198</v>
      </c>
      <c r="H4" s="1">
        <f t="shared" si="5"/>
        <v>2028.0847737170104</v>
      </c>
      <c r="I4" s="1">
        <f t="shared" si="6"/>
        <v>180</v>
      </c>
      <c r="J4" s="1">
        <f t="shared" si="7"/>
        <v>32400</v>
      </c>
      <c r="K4" s="62">
        <v>27</v>
      </c>
    </row>
    <row r="5" spans="1:11" ht="12.75">
      <c r="A5" s="6">
        <v>23</v>
      </c>
      <c r="B5" s="6">
        <v>1270</v>
      </c>
      <c r="C5" s="1">
        <f t="shared" si="0"/>
        <v>529</v>
      </c>
      <c r="D5" s="6">
        <f t="shared" si="1"/>
        <v>1612900</v>
      </c>
      <c r="E5" s="1">
        <f t="shared" si="2"/>
        <v>29210</v>
      </c>
      <c r="F5" s="1">
        <f t="shared" si="3"/>
        <v>1099.3467336683416</v>
      </c>
      <c r="G5" s="1">
        <f t="shared" si="4"/>
        <v>9.346733668341585</v>
      </c>
      <c r="H5" s="1">
        <f t="shared" si="5"/>
        <v>87.36143026691015</v>
      </c>
      <c r="I5" s="1">
        <f t="shared" si="6"/>
        <v>180</v>
      </c>
      <c r="J5" s="1">
        <f t="shared" si="7"/>
        <v>32400</v>
      </c>
      <c r="K5" s="62">
        <v>27</v>
      </c>
    </row>
    <row r="6" spans="1:11" ht="12.75">
      <c r="A6" s="6">
        <v>18</v>
      </c>
      <c r="B6" s="6">
        <v>1240</v>
      </c>
      <c r="C6" s="1">
        <f t="shared" si="0"/>
        <v>324</v>
      </c>
      <c r="D6" s="6">
        <f t="shared" si="1"/>
        <v>1537600</v>
      </c>
      <c r="E6" s="1">
        <f t="shared" si="2"/>
        <v>22320</v>
      </c>
      <c r="F6" s="1">
        <f t="shared" si="3"/>
        <v>1039.8675194152581</v>
      </c>
      <c r="G6" s="1">
        <f t="shared" si="4"/>
        <v>-50.13248058474187</v>
      </c>
      <c r="H6" s="1">
        <f t="shared" si="5"/>
        <v>2513.2656095795205</v>
      </c>
      <c r="I6" s="1">
        <f t="shared" si="6"/>
        <v>150</v>
      </c>
      <c r="J6" s="1">
        <f t="shared" si="7"/>
        <v>22500</v>
      </c>
      <c r="K6" s="62">
        <v>27</v>
      </c>
    </row>
    <row r="7" spans="1:11" ht="12.75">
      <c r="A7" s="6">
        <v>21</v>
      </c>
      <c r="B7" s="6">
        <v>1160</v>
      </c>
      <c r="C7" s="1">
        <f t="shared" si="0"/>
        <v>441</v>
      </c>
      <c r="D7" s="6">
        <f t="shared" si="1"/>
        <v>1345600</v>
      </c>
      <c r="E7" s="1">
        <f t="shared" si="2"/>
        <v>24360</v>
      </c>
      <c r="F7" s="1">
        <f t="shared" si="3"/>
        <v>1075.5550479671083</v>
      </c>
      <c r="G7" s="1">
        <f t="shared" si="4"/>
        <v>-14.444952032891706</v>
      </c>
      <c r="H7" s="1">
        <f t="shared" si="5"/>
        <v>208.65663923254223</v>
      </c>
      <c r="I7" s="1">
        <f t="shared" si="6"/>
        <v>70</v>
      </c>
      <c r="J7" s="1">
        <f t="shared" si="7"/>
        <v>4900</v>
      </c>
      <c r="K7" s="62">
        <v>27</v>
      </c>
    </row>
    <row r="8" spans="1:11" ht="12.75">
      <c r="A8" s="6">
        <v>24</v>
      </c>
      <c r="B8" s="6">
        <v>1050</v>
      </c>
      <c r="C8" s="1">
        <f t="shared" si="0"/>
        <v>576</v>
      </c>
      <c r="D8" s="6">
        <f t="shared" si="1"/>
        <v>1102500</v>
      </c>
      <c r="E8" s="1">
        <f t="shared" si="2"/>
        <v>25200</v>
      </c>
      <c r="F8" s="1">
        <f t="shared" si="3"/>
        <v>1111.2425765189585</v>
      </c>
      <c r="G8" s="1">
        <f t="shared" si="4"/>
        <v>21.242576518958458</v>
      </c>
      <c r="H8" s="1">
        <f t="shared" si="5"/>
        <v>451.24705716380527</v>
      </c>
      <c r="I8" s="1">
        <f t="shared" si="6"/>
        <v>-40</v>
      </c>
      <c r="J8" s="1">
        <f t="shared" si="7"/>
        <v>1600</v>
      </c>
      <c r="K8" s="62">
        <v>27</v>
      </c>
    </row>
    <row r="9" spans="1:11" ht="12.75">
      <c r="A9" s="6">
        <v>26</v>
      </c>
      <c r="B9" s="6">
        <v>1090</v>
      </c>
      <c r="C9" s="1">
        <f t="shared" si="0"/>
        <v>676</v>
      </c>
      <c r="D9" s="6">
        <f t="shared" si="1"/>
        <v>1188100</v>
      </c>
      <c r="E9" s="1">
        <f t="shared" si="2"/>
        <v>28340</v>
      </c>
      <c r="F9" s="1">
        <f t="shared" si="3"/>
        <v>1135.034262220192</v>
      </c>
      <c r="G9" s="1">
        <f t="shared" si="4"/>
        <v>45.03426222019198</v>
      </c>
      <c r="H9" s="1">
        <f t="shared" si="5"/>
        <v>2028.0847737170104</v>
      </c>
      <c r="I9" s="1">
        <f t="shared" si="6"/>
        <v>0</v>
      </c>
      <c r="J9" s="1">
        <f t="shared" si="7"/>
        <v>0</v>
      </c>
      <c r="K9" s="62">
        <v>27</v>
      </c>
    </row>
    <row r="10" spans="1:11" ht="12.75">
      <c r="A10" s="6">
        <v>22</v>
      </c>
      <c r="B10" s="6">
        <v>1200</v>
      </c>
      <c r="C10" s="1">
        <f t="shared" si="0"/>
        <v>484</v>
      </c>
      <c r="D10" s="6">
        <f t="shared" si="1"/>
        <v>1440000</v>
      </c>
      <c r="E10" s="1">
        <f t="shared" si="2"/>
        <v>26400</v>
      </c>
      <c r="F10" s="1">
        <f t="shared" si="3"/>
        <v>1087.450890817725</v>
      </c>
      <c r="G10" s="1">
        <f t="shared" si="4"/>
        <v>-2.5491091822750604</v>
      </c>
      <c r="H10" s="1">
        <f t="shared" si="5"/>
        <v>6.497957623159027</v>
      </c>
      <c r="I10" s="1">
        <f t="shared" si="6"/>
        <v>110</v>
      </c>
      <c r="J10" s="1">
        <f t="shared" si="7"/>
        <v>12100</v>
      </c>
      <c r="K10" s="62">
        <v>27</v>
      </c>
    </row>
    <row r="11" spans="1:11" ht="12.75">
      <c r="A11" s="6">
        <v>20</v>
      </c>
      <c r="B11" s="6">
        <v>1050</v>
      </c>
      <c r="C11" s="1">
        <f t="shared" si="0"/>
        <v>400</v>
      </c>
      <c r="D11" s="6">
        <f t="shared" si="1"/>
        <v>1102500</v>
      </c>
      <c r="E11" s="1">
        <f t="shared" si="2"/>
        <v>21000</v>
      </c>
      <c r="F11" s="1">
        <f t="shared" si="3"/>
        <v>1063.6592051164916</v>
      </c>
      <c r="G11" s="1">
        <f t="shared" si="4"/>
        <v>-26.34079488350835</v>
      </c>
      <c r="H11" s="1">
        <f t="shared" si="5"/>
        <v>693.8374750950597</v>
      </c>
      <c r="I11" s="1">
        <f t="shared" si="6"/>
        <v>-40</v>
      </c>
      <c r="J11" s="1">
        <f t="shared" si="7"/>
        <v>1600</v>
      </c>
      <c r="K11" s="62">
        <v>27</v>
      </c>
    </row>
    <row r="12" spans="1:11" ht="12.75">
      <c r="A12" s="6">
        <v>26</v>
      </c>
      <c r="B12" s="6">
        <v>1090</v>
      </c>
      <c r="C12" s="1">
        <f t="shared" si="0"/>
        <v>676</v>
      </c>
      <c r="D12" s="6">
        <f t="shared" si="1"/>
        <v>1188100</v>
      </c>
      <c r="E12" s="1">
        <f t="shared" si="2"/>
        <v>28340</v>
      </c>
      <c r="F12" s="1">
        <f t="shared" si="3"/>
        <v>1135.034262220192</v>
      </c>
      <c r="G12" s="1">
        <f t="shared" si="4"/>
        <v>45.03426222019198</v>
      </c>
      <c r="H12" s="1">
        <f t="shared" si="5"/>
        <v>2028.0847737170104</v>
      </c>
      <c r="I12" s="1">
        <f t="shared" si="6"/>
        <v>0</v>
      </c>
      <c r="J12" s="1">
        <f t="shared" si="7"/>
        <v>0</v>
      </c>
      <c r="K12" s="62">
        <v>27</v>
      </c>
    </row>
    <row r="13" spans="1:11" ht="12.75">
      <c r="A13" s="6">
        <v>27</v>
      </c>
      <c r="B13" s="6">
        <v>980</v>
      </c>
      <c r="C13" s="1">
        <f t="shared" si="0"/>
        <v>729</v>
      </c>
      <c r="D13" s="6">
        <f t="shared" si="1"/>
        <v>960400</v>
      </c>
      <c r="E13" s="1">
        <f t="shared" si="2"/>
        <v>26460</v>
      </c>
      <c r="F13" s="1">
        <f t="shared" si="3"/>
        <v>1146.9301050708086</v>
      </c>
      <c r="G13" s="1">
        <f t="shared" si="4"/>
        <v>56.93010507080862</v>
      </c>
      <c r="H13" s="1">
        <f t="shared" si="5"/>
        <v>3241.0368633733096</v>
      </c>
      <c r="I13" s="1">
        <f t="shared" si="6"/>
        <v>-110</v>
      </c>
      <c r="J13" s="1">
        <f t="shared" si="7"/>
        <v>12100</v>
      </c>
      <c r="K13" s="62">
        <v>27</v>
      </c>
    </row>
    <row r="14" spans="1:11" ht="12.75">
      <c r="A14" s="6">
        <v>19</v>
      </c>
      <c r="B14" s="6">
        <v>900</v>
      </c>
      <c r="C14" s="1">
        <f t="shared" si="0"/>
        <v>361</v>
      </c>
      <c r="D14" s="6">
        <f t="shared" si="1"/>
        <v>810000</v>
      </c>
      <c r="E14" s="1">
        <f t="shared" si="2"/>
        <v>17100</v>
      </c>
      <c r="F14" s="1">
        <f t="shared" si="3"/>
        <v>1051.7633622658748</v>
      </c>
      <c r="G14" s="1">
        <f t="shared" si="4"/>
        <v>-38.236637734125225</v>
      </c>
      <c r="H14" s="1">
        <f t="shared" si="5"/>
        <v>1462.040465210729</v>
      </c>
      <c r="I14" s="1">
        <f t="shared" si="6"/>
        <v>-190</v>
      </c>
      <c r="J14" s="1">
        <f t="shared" si="7"/>
        <v>36100</v>
      </c>
      <c r="K14" s="62">
        <v>27</v>
      </c>
    </row>
    <row r="15" spans="1:11" ht="12.75">
      <c r="A15" s="6">
        <v>15</v>
      </c>
      <c r="B15" s="6">
        <v>860</v>
      </c>
      <c r="C15" s="1">
        <f t="shared" si="0"/>
        <v>225</v>
      </c>
      <c r="D15" s="6">
        <f t="shared" si="1"/>
        <v>739600</v>
      </c>
      <c r="E15" s="1">
        <f t="shared" si="2"/>
        <v>12900</v>
      </c>
      <c r="F15" s="1">
        <f t="shared" si="3"/>
        <v>1004.179990863408</v>
      </c>
      <c r="G15" s="1">
        <f t="shared" si="4"/>
        <v>-85.82000913659203</v>
      </c>
      <c r="H15" s="1">
        <f t="shared" si="5"/>
        <v>7365.073968204741</v>
      </c>
      <c r="I15" s="1">
        <f t="shared" si="6"/>
        <v>-230</v>
      </c>
      <c r="J15" s="1">
        <f t="shared" si="7"/>
        <v>52900</v>
      </c>
      <c r="K15" s="62">
        <v>27</v>
      </c>
    </row>
    <row r="16" spans="1:11" ht="12.75">
      <c r="A16" s="6">
        <v>22</v>
      </c>
      <c r="B16" s="6">
        <v>750</v>
      </c>
      <c r="C16" s="1">
        <f t="shared" si="0"/>
        <v>484</v>
      </c>
      <c r="D16" s="6">
        <f t="shared" si="1"/>
        <v>562500</v>
      </c>
      <c r="E16" s="1">
        <f t="shared" si="2"/>
        <v>16500</v>
      </c>
      <c r="F16" s="1">
        <f t="shared" si="3"/>
        <v>1087.450890817725</v>
      </c>
      <c r="G16" s="1">
        <f t="shared" si="4"/>
        <v>-2.5491091822750604</v>
      </c>
      <c r="H16" s="1">
        <f t="shared" si="5"/>
        <v>6.497957623159027</v>
      </c>
      <c r="I16" s="1">
        <f t="shared" si="6"/>
        <v>-340</v>
      </c>
      <c r="J16" s="1">
        <f t="shared" si="7"/>
        <v>115600</v>
      </c>
      <c r="K16" s="62">
        <v>27</v>
      </c>
    </row>
    <row r="17" spans="1:10" ht="12.75">
      <c r="A17" s="46">
        <f>SUM(A3:A16)</f>
        <v>311</v>
      </c>
      <c r="B17" s="46">
        <f>SUM(B3:B16)</f>
        <v>15260</v>
      </c>
      <c r="C17" s="44">
        <f>SUM(C3:C16)</f>
        <v>7065</v>
      </c>
      <c r="D17" s="46">
        <f>SUM(D3:D16)</f>
        <v>17025200</v>
      </c>
      <c r="E17" s="44">
        <f>SUM(E3:E16)</f>
        <v>340850</v>
      </c>
      <c r="H17" s="13">
        <f>SUM(H3:H16)</f>
        <v>22126.267702147128</v>
      </c>
      <c r="J17" s="13">
        <f>SUM(J3:J16)</f>
        <v>391800</v>
      </c>
    </row>
    <row r="18" spans="1:10" s="47" customFormat="1" ht="14.25">
      <c r="A18" s="47" t="s">
        <v>176</v>
      </c>
      <c r="B18" s="48" t="s">
        <v>177</v>
      </c>
      <c r="C18" s="47" t="s">
        <v>178</v>
      </c>
      <c r="D18" s="48" t="s">
        <v>186</v>
      </c>
      <c r="E18" s="47" t="s">
        <v>179</v>
      </c>
      <c r="F18" s="47" t="s">
        <v>180</v>
      </c>
      <c r="G18" s="47" t="s">
        <v>181</v>
      </c>
      <c r="H18" s="47" t="s">
        <v>184</v>
      </c>
      <c r="I18" s="47" t="s">
        <v>182</v>
      </c>
      <c r="J18" s="47" t="s">
        <v>183</v>
      </c>
    </row>
    <row r="20" spans="1:3" ht="12.75">
      <c r="A20" s="1" t="s">
        <v>158</v>
      </c>
      <c r="B20" s="7" t="s">
        <v>159</v>
      </c>
      <c r="C20" s="1">
        <f>COUNT(A3:A16)</f>
        <v>14</v>
      </c>
    </row>
    <row r="21" spans="1:8" ht="12.75">
      <c r="A21" s="1" t="s">
        <v>172</v>
      </c>
      <c r="B21" s="7" t="s">
        <v>159</v>
      </c>
      <c r="C21" s="1">
        <f>C20*E17</f>
        <v>4771900</v>
      </c>
      <c r="F21" s="1" t="s">
        <v>167</v>
      </c>
      <c r="G21" s="7" t="s">
        <v>159</v>
      </c>
      <c r="H21" s="7" t="s">
        <v>168</v>
      </c>
    </row>
    <row r="22" spans="1:3" ht="12.75">
      <c r="A22" s="1" t="s">
        <v>173</v>
      </c>
      <c r="B22" s="7" t="s">
        <v>159</v>
      </c>
      <c r="C22" s="1">
        <f>A17*B17</f>
        <v>4745860</v>
      </c>
    </row>
    <row r="23" spans="1:8" ht="12.75">
      <c r="A23" s="1" t="s">
        <v>174</v>
      </c>
      <c r="B23" s="7" t="s">
        <v>159</v>
      </c>
      <c r="C23" s="1">
        <f>SQRT((C20*C17)-(A17^2))</f>
        <v>46.78675026115834</v>
      </c>
      <c r="F23" s="1" t="s">
        <v>169</v>
      </c>
      <c r="G23" s="7" t="s">
        <v>159</v>
      </c>
      <c r="H23" s="7">
        <f>B17/C20</f>
        <v>1090</v>
      </c>
    </row>
    <row r="24" spans="1:3" ht="12.75">
      <c r="A24" s="1" t="s">
        <v>175</v>
      </c>
      <c r="B24" s="7" t="s">
        <v>159</v>
      </c>
      <c r="C24" s="1">
        <f>SQRT((C20*D17)-(B17^2))</f>
        <v>2342.0503837449783</v>
      </c>
    </row>
    <row r="25" spans="6:8" ht="12.75">
      <c r="F25" s="1" t="s">
        <v>148</v>
      </c>
      <c r="G25" s="7" t="s">
        <v>159</v>
      </c>
      <c r="H25" s="7">
        <v>27</v>
      </c>
    </row>
    <row r="26" spans="1:4" ht="12.75">
      <c r="A26" s="13" t="s">
        <v>161</v>
      </c>
      <c r="B26" s="49" t="s">
        <v>159</v>
      </c>
      <c r="C26" s="50">
        <f>(C21-C22)/(C23*C24)</f>
        <v>0.2376412704272523</v>
      </c>
      <c r="D26" s="45"/>
    </row>
    <row r="27" spans="6:9" ht="12.75">
      <c r="F27" s="13" t="s">
        <v>149</v>
      </c>
      <c r="G27" s="49" t="s">
        <v>159</v>
      </c>
      <c r="H27" s="49">
        <f>C20+(C32*H25)</f>
        <v>335.1877569666514</v>
      </c>
      <c r="I27" s="44" t="s">
        <v>187</v>
      </c>
    </row>
    <row r="28" ht="12.75">
      <c r="C28" s="7" t="s">
        <v>162</v>
      </c>
    </row>
    <row r="29" spans="1:9" ht="12.75">
      <c r="A29" s="1" t="s">
        <v>163</v>
      </c>
      <c r="B29" s="7" t="s">
        <v>159</v>
      </c>
      <c r="C29" s="7"/>
      <c r="F29" s="13" t="s">
        <v>160</v>
      </c>
      <c r="G29" s="49" t="s">
        <v>159</v>
      </c>
      <c r="H29" s="50">
        <f>H17/J17</f>
        <v>0.056473373410278534</v>
      </c>
      <c r="I29" s="45"/>
    </row>
    <row r="30" spans="2:3" ht="12.75">
      <c r="B30" s="7"/>
      <c r="C30" s="7" t="s">
        <v>164</v>
      </c>
    </row>
    <row r="31" spans="2:6" ht="14.25">
      <c r="B31" s="7"/>
      <c r="F31" s="1" t="s">
        <v>188</v>
      </c>
    </row>
    <row r="32" spans="2:6" ht="12.75">
      <c r="B32" s="7" t="s">
        <v>159</v>
      </c>
      <c r="C32" s="7">
        <f>(C21-C22)/((C20*C17)-(A17^2))</f>
        <v>11.89584285061672</v>
      </c>
      <c r="F32" s="1" t="s">
        <v>189</v>
      </c>
    </row>
    <row r="33" ht="12.75">
      <c r="F33" s="1" t="s">
        <v>190</v>
      </c>
    </row>
    <row r="34" spans="1:3" ht="12.75">
      <c r="A34" s="1" t="s">
        <v>165</v>
      </c>
      <c r="B34" s="7" t="s">
        <v>159</v>
      </c>
      <c r="C34" s="7" t="s">
        <v>166</v>
      </c>
    </row>
    <row r="36" spans="2:3" ht="12.75">
      <c r="B36" s="7" t="s">
        <v>159</v>
      </c>
      <c r="C36" s="7">
        <f>(B17-(C32*A17))/C20</f>
        <v>825.7423481041571</v>
      </c>
    </row>
    <row r="38" ht="12.75">
      <c r="A38" s="1" t="s">
        <v>191</v>
      </c>
    </row>
    <row r="39" ht="12.75">
      <c r="A39" s="1" t="s">
        <v>192</v>
      </c>
    </row>
  </sheetData>
  <printOptions horizontalCentered="1"/>
  <pageMargins left="0.67" right="0.65" top="0.61" bottom="0.59" header="0.4" footer="0.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pane ySplit="2" topLeftCell="BM3" activePane="bottomLeft" state="frozen"/>
      <selection pane="topLeft" activeCell="F20" sqref="F20"/>
      <selection pane="bottomLeft" activeCell="H23" sqref="H23"/>
    </sheetView>
  </sheetViews>
  <sheetFormatPr defaultColWidth="9.140625" defaultRowHeight="12.75"/>
  <cols>
    <col min="1" max="1" width="13.28125" style="1" bestFit="1" customWidth="1"/>
    <col min="2" max="2" width="18.57421875" style="1" bestFit="1" customWidth="1"/>
    <col min="3" max="3" width="13.8515625" style="1" bestFit="1" customWidth="1"/>
    <col min="4" max="4" width="13.28125" style="6" bestFit="1" customWidth="1"/>
    <col min="5" max="5" width="15.00390625" style="1" bestFit="1" customWidth="1"/>
    <col min="6" max="6" width="9.140625" style="1" bestFit="1" customWidth="1"/>
    <col min="7" max="7" width="8.28125" style="1" bestFit="1" customWidth="1"/>
    <col min="8" max="8" width="13.28125" style="1" bestFit="1" customWidth="1"/>
    <col min="9" max="9" width="8.57421875" style="1" bestFit="1" customWidth="1"/>
    <col min="10" max="10" width="13.28125" style="1" bestFit="1" customWidth="1"/>
    <col min="11" max="11" width="7.421875" style="1" customWidth="1"/>
    <col min="12" max="12" width="5.57421875" style="1" customWidth="1"/>
    <col min="13" max="16384" width="14.00390625" style="1" customWidth="1"/>
  </cols>
  <sheetData>
    <row r="1" spans="1:11" s="63" customFormat="1" ht="12.75">
      <c r="A1" s="51" t="s">
        <v>170</v>
      </c>
      <c r="B1" s="63" t="s">
        <v>147</v>
      </c>
      <c r="D1" s="64"/>
      <c r="K1" s="65" t="s">
        <v>195</v>
      </c>
    </row>
    <row r="2" spans="1:10" s="7" customFormat="1" ht="12.75">
      <c r="A2" s="7" t="s">
        <v>148</v>
      </c>
      <c r="B2" s="7" t="s">
        <v>149</v>
      </c>
      <c r="C2" s="7" t="s">
        <v>150</v>
      </c>
      <c r="D2" s="12" t="s">
        <v>151</v>
      </c>
      <c r="E2" s="7" t="s">
        <v>152</v>
      </c>
      <c r="F2" s="7" t="s">
        <v>153</v>
      </c>
      <c r="G2" s="7" t="s">
        <v>154</v>
      </c>
      <c r="H2" s="7" t="s">
        <v>155</v>
      </c>
      <c r="I2" s="7" t="s">
        <v>156</v>
      </c>
      <c r="J2" s="7" t="s">
        <v>157</v>
      </c>
    </row>
    <row r="3" spans="1:11" ht="12.75">
      <c r="A3" s="1">
        <v>126</v>
      </c>
      <c r="B3" s="6">
        <v>1350</v>
      </c>
      <c r="C3" s="1">
        <f aca="true" t="shared" si="0" ref="C3:C16">A3^2</f>
        <v>15876</v>
      </c>
      <c r="D3" s="6">
        <f aca="true" t="shared" si="1" ref="D3:D16">B3^2</f>
        <v>1822500</v>
      </c>
      <c r="E3" s="1">
        <f aca="true" t="shared" si="2" ref="E3:E16">A3*B3</f>
        <v>170100</v>
      </c>
      <c r="F3" s="1">
        <f aca="true" t="shared" si="3" ref="F3:F16">C$36+(C$32*A3)</f>
        <v>1378.1</v>
      </c>
      <c r="G3" s="1">
        <f aca="true" t="shared" si="4" ref="G3:G16">F3-H$23</f>
        <v>288.0999999999999</v>
      </c>
      <c r="H3" s="1">
        <f aca="true" t="shared" si="5" ref="H3:H16">G3^2</f>
        <v>83001.60999999994</v>
      </c>
      <c r="I3" s="1">
        <f aca="true" t="shared" si="6" ref="I3:I16">B3-H$23</f>
        <v>260</v>
      </c>
      <c r="J3" s="1">
        <f aca="true" t="shared" si="7" ref="J3:J16">I3^2</f>
        <v>67600</v>
      </c>
      <c r="K3" s="62">
        <v>27</v>
      </c>
    </row>
    <row r="4" spans="1:11" ht="12.75">
      <c r="A4" s="1">
        <v>115.5</v>
      </c>
      <c r="B4" s="6">
        <v>1270</v>
      </c>
      <c r="C4" s="1">
        <f t="shared" si="0"/>
        <v>13340.25</v>
      </c>
      <c r="D4" s="6">
        <f t="shared" si="1"/>
        <v>1612900</v>
      </c>
      <c r="E4" s="1">
        <f t="shared" si="2"/>
        <v>146685</v>
      </c>
      <c r="F4" s="1">
        <f t="shared" si="3"/>
        <v>1287.8</v>
      </c>
      <c r="G4" s="1">
        <f t="shared" si="4"/>
        <v>197.79999999999995</v>
      </c>
      <c r="H4" s="1">
        <f t="shared" si="5"/>
        <v>39124.83999999998</v>
      </c>
      <c r="I4" s="1">
        <f t="shared" si="6"/>
        <v>180</v>
      </c>
      <c r="J4" s="1">
        <f t="shared" si="7"/>
        <v>32400</v>
      </c>
      <c r="K4" s="62">
        <v>27</v>
      </c>
    </row>
    <row r="5" spans="1:11" ht="12.75">
      <c r="A5" s="1">
        <v>112</v>
      </c>
      <c r="B5" s="6">
        <v>1270</v>
      </c>
      <c r="C5" s="1">
        <f t="shared" si="0"/>
        <v>12544</v>
      </c>
      <c r="D5" s="6">
        <f t="shared" si="1"/>
        <v>1612900</v>
      </c>
      <c r="E5" s="1">
        <f t="shared" si="2"/>
        <v>142240</v>
      </c>
      <c r="F5" s="1">
        <f t="shared" si="3"/>
        <v>1257.6999999999998</v>
      </c>
      <c r="G5" s="1">
        <f t="shared" si="4"/>
        <v>167.69999999999982</v>
      </c>
      <c r="H5" s="1">
        <f t="shared" si="5"/>
        <v>28123.28999999994</v>
      </c>
      <c r="I5" s="1">
        <f t="shared" si="6"/>
        <v>180</v>
      </c>
      <c r="J5" s="1">
        <f t="shared" si="7"/>
        <v>32400</v>
      </c>
      <c r="K5" s="62">
        <v>27</v>
      </c>
    </row>
    <row r="6" spans="1:11" ht="12.75">
      <c r="A6" s="1">
        <v>108.5</v>
      </c>
      <c r="B6" s="6">
        <v>1240</v>
      </c>
      <c r="C6" s="1">
        <f t="shared" si="0"/>
        <v>11772.25</v>
      </c>
      <c r="D6" s="6">
        <f t="shared" si="1"/>
        <v>1537600</v>
      </c>
      <c r="E6" s="1">
        <f t="shared" si="2"/>
        <v>134540</v>
      </c>
      <c r="F6" s="1">
        <f t="shared" si="3"/>
        <v>1227.6</v>
      </c>
      <c r="G6" s="1">
        <f t="shared" si="4"/>
        <v>137.5999999999999</v>
      </c>
      <c r="H6" s="1">
        <f t="shared" si="5"/>
        <v>18933.759999999977</v>
      </c>
      <c r="I6" s="1">
        <f t="shared" si="6"/>
        <v>150</v>
      </c>
      <c r="J6" s="1">
        <f t="shared" si="7"/>
        <v>22500</v>
      </c>
      <c r="K6" s="62">
        <v>27</v>
      </c>
    </row>
    <row r="7" spans="1:11" ht="12.75">
      <c r="A7" s="1">
        <v>101.5</v>
      </c>
      <c r="B7" s="6">
        <v>1160</v>
      </c>
      <c r="C7" s="1">
        <f t="shared" si="0"/>
        <v>10302.25</v>
      </c>
      <c r="D7" s="6">
        <f t="shared" si="1"/>
        <v>1345600</v>
      </c>
      <c r="E7" s="1">
        <f t="shared" si="2"/>
        <v>117740</v>
      </c>
      <c r="F7" s="1">
        <f t="shared" si="3"/>
        <v>1167.4</v>
      </c>
      <c r="G7" s="1">
        <f t="shared" si="4"/>
        <v>77.40000000000009</v>
      </c>
      <c r="H7" s="1">
        <f t="shared" si="5"/>
        <v>5990.760000000014</v>
      </c>
      <c r="I7" s="1">
        <f t="shared" si="6"/>
        <v>70</v>
      </c>
      <c r="J7" s="1">
        <f t="shared" si="7"/>
        <v>4900</v>
      </c>
      <c r="K7" s="62">
        <v>27</v>
      </c>
    </row>
    <row r="8" spans="1:11" ht="12.75">
      <c r="A8" s="1">
        <v>99.75</v>
      </c>
      <c r="B8" s="6">
        <v>1050</v>
      </c>
      <c r="C8" s="1">
        <f t="shared" si="0"/>
        <v>9950.0625</v>
      </c>
      <c r="D8" s="6">
        <f t="shared" si="1"/>
        <v>1102500</v>
      </c>
      <c r="E8" s="1">
        <f t="shared" si="2"/>
        <v>104737.5</v>
      </c>
      <c r="F8" s="1">
        <f t="shared" si="3"/>
        <v>1152.35</v>
      </c>
      <c r="G8" s="1">
        <f t="shared" si="4"/>
        <v>62.34999999999991</v>
      </c>
      <c r="H8" s="1">
        <f t="shared" si="5"/>
        <v>3887.5224999999887</v>
      </c>
      <c r="I8" s="1">
        <f t="shared" si="6"/>
        <v>-40</v>
      </c>
      <c r="J8" s="1">
        <f t="shared" si="7"/>
        <v>1600</v>
      </c>
      <c r="K8" s="62">
        <v>27</v>
      </c>
    </row>
    <row r="9" spans="1:11" ht="12.75">
      <c r="A9" s="1">
        <v>92.75</v>
      </c>
      <c r="B9" s="6">
        <v>1090</v>
      </c>
      <c r="C9" s="1">
        <f t="shared" si="0"/>
        <v>8602.5625</v>
      </c>
      <c r="D9" s="6">
        <f t="shared" si="1"/>
        <v>1188100</v>
      </c>
      <c r="E9" s="1">
        <f t="shared" si="2"/>
        <v>101097.5</v>
      </c>
      <c r="F9" s="1">
        <f t="shared" si="3"/>
        <v>1092.15</v>
      </c>
      <c r="G9" s="1">
        <f t="shared" si="4"/>
        <v>2.150000000000091</v>
      </c>
      <c r="H9" s="1">
        <f t="shared" si="5"/>
        <v>4.622500000000391</v>
      </c>
      <c r="I9" s="1">
        <f t="shared" si="6"/>
        <v>0</v>
      </c>
      <c r="J9" s="1">
        <f t="shared" si="7"/>
        <v>0</v>
      </c>
      <c r="K9" s="62">
        <v>27</v>
      </c>
    </row>
    <row r="10" spans="1:11" ht="12.75">
      <c r="A10" s="1">
        <v>87.5</v>
      </c>
      <c r="B10" s="6">
        <v>1200</v>
      </c>
      <c r="C10" s="1">
        <f t="shared" si="0"/>
        <v>7656.25</v>
      </c>
      <c r="D10" s="6">
        <f t="shared" si="1"/>
        <v>1440000</v>
      </c>
      <c r="E10" s="1">
        <f t="shared" si="2"/>
        <v>105000</v>
      </c>
      <c r="F10" s="1">
        <f t="shared" si="3"/>
        <v>1047</v>
      </c>
      <c r="G10" s="1">
        <f t="shared" si="4"/>
        <v>-43</v>
      </c>
      <c r="H10" s="1">
        <f t="shared" si="5"/>
        <v>1849</v>
      </c>
      <c r="I10" s="1">
        <f t="shared" si="6"/>
        <v>110</v>
      </c>
      <c r="J10" s="1">
        <f t="shared" si="7"/>
        <v>12100</v>
      </c>
      <c r="K10" s="62">
        <v>27</v>
      </c>
    </row>
    <row r="11" spans="1:11" ht="12.75">
      <c r="A11" s="1">
        <v>85.75</v>
      </c>
      <c r="B11" s="6">
        <v>1050</v>
      </c>
      <c r="C11" s="1">
        <f t="shared" si="0"/>
        <v>7353.0625</v>
      </c>
      <c r="D11" s="6">
        <f t="shared" si="1"/>
        <v>1102500</v>
      </c>
      <c r="E11" s="1">
        <f t="shared" si="2"/>
        <v>90037.5</v>
      </c>
      <c r="F11" s="1">
        <f t="shared" si="3"/>
        <v>1031.9499999999998</v>
      </c>
      <c r="G11" s="1">
        <f t="shared" si="4"/>
        <v>-58.05000000000018</v>
      </c>
      <c r="H11" s="1">
        <f t="shared" si="5"/>
        <v>3369.802500000021</v>
      </c>
      <c r="I11" s="1">
        <f t="shared" si="6"/>
        <v>-40</v>
      </c>
      <c r="J11" s="1">
        <f t="shared" si="7"/>
        <v>1600</v>
      </c>
      <c r="K11" s="62">
        <v>27</v>
      </c>
    </row>
    <row r="12" spans="1:11" ht="12.75">
      <c r="A12" s="1">
        <v>84</v>
      </c>
      <c r="B12" s="6">
        <v>1090</v>
      </c>
      <c r="C12" s="1">
        <f t="shared" si="0"/>
        <v>7056</v>
      </c>
      <c r="D12" s="6">
        <f t="shared" si="1"/>
        <v>1188100</v>
      </c>
      <c r="E12" s="1">
        <f t="shared" si="2"/>
        <v>91560</v>
      </c>
      <c r="F12" s="1">
        <f t="shared" si="3"/>
        <v>1016.9</v>
      </c>
      <c r="G12" s="1">
        <f t="shared" si="4"/>
        <v>-73.10000000000002</v>
      </c>
      <c r="H12" s="1">
        <f t="shared" si="5"/>
        <v>5343.610000000003</v>
      </c>
      <c r="I12" s="1">
        <f t="shared" si="6"/>
        <v>0</v>
      </c>
      <c r="J12" s="1">
        <f t="shared" si="7"/>
        <v>0</v>
      </c>
      <c r="K12" s="62">
        <v>27</v>
      </c>
    </row>
    <row r="13" spans="1:11" ht="12.75">
      <c r="A13" s="1">
        <v>77</v>
      </c>
      <c r="B13" s="6">
        <v>980</v>
      </c>
      <c r="C13" s="1">
        <f t="shared" si="0"/>
        <v>5929</v>
      </c>
      <c r="D13" s="6">
        <f t="shared" si="1"/>
        <v>960400</v>
      </c>
      <c r="E13" s="1">
        <f t="shared" si="2"/>
        <v>75460</v>
      </c>
      <c r="F13" s="1">
        <f t="shared" si="3"/>
        <v>956.6999999999999</v>
      </c>
      <c r="G13" s="1">
        <f t="shared" si="4"/>
        <v>-133.30000000000007</v>
      </c>
      <c r="H13" s="1">
        <f t="shared" si="5"/>
        <v>17768.890000000018</v>
      </c>
      <c r="I13" s="1">
        <f t="shared" si="6"/>
        <v>-110</v>
      </c>
      <c r="J13" s="1">
        <f t="shared" si="7"/>
        <v>12100</v>
      </c>
      <c r="K13" s="62">
        <v>27</v>
      </c>
    </row>
    <row r="14" spans="1:11" ht="12.75">
      <c r="A14" s="1">
        <v>73.5</v>
      </c>
      <c r="B14" s="6">
        <v>900</v>
      </c>
      <c r="C14" s="1">
        <f t="shared" si="0"/>
        <v>5402.25</v>
      </c>
      <c r="D14" s="6">
        <f t="shared" si="1"/>
        <v>810000</v>
      </c>
      <c r="E14" s="1">
        <f t="shared" si="2"/>
        <v>66150</v>
      </c>
      <c r="F14" s="1">
        <f t="shared" si="3"/>
        <v>926.6</v>
      </c>
      <c r="G14" s="1">
        <f t="shared" si="4"/>
        <v>-163.39999999999998</v>
      </c>
      <c r="H14" s="1">
        <f t="shared" si="5"/>
        <v>26699.559999999994</v>
      </c>
      <c r="I14" s="1">
        <f t="shared" si="6"/>
        <v>-190</v>
      </c>
      <c r="J14" s="1">
        <f t="shared" si="7"/>
        <v>36100</v>
      </c>
      <c r="K14" s="62">
        <v>27</v>
      </c>
    </row>
    <row r="15" spans="1:11" ht="12.75">
      <c r="A15" s="1">
        <v>68.25</v>
      </c>
      <c r="B15" s="6">
        <v>860</v>
      </c>
      <c r="C15" s="1">
        <f t="shared" si="0"/>
        <v>4658.0625</v>
      </c>
      <c r="D15" s="6">
        <f t="shared" si="1"/>
        <v>739600</v>
      </c>
      <c r="E15" s="1">
        <f t="shared" si="2"/>
        <v>58695</v>
      </c>
      <c r="F15" s="1">
        <f t="shared" si="3"/>
        <v>881.4499999999999</v>
      </c>
      <c r="G15" s="1">
        <f t="shared" si="4"/>
        <v>-208.55000000000007</v>
      </c>
      <c r="H15" s="1">
        <f t="shared" si="5"/>
        <v>43493.10250000003</v>
      </c>
      <c r="I15" s="1">
        <f t="shared" si="6"/>
        <v>-230</v>
      </c>
      <c r="J15" s="1">
        <f t="shared" si="7"/>
        <v>52900</v>
      </c>
      <c r="K15" s="62">
        <v>27</v>
      </c>
    </row>
    <row r="16" spans="1:11" ht="12.75">
      <c r="A16" s="1">
        <v>63</v>
      </c>
      <c r="B16" s="6">
        <v>750</v>
      </c>
      <c r="C16" s="1">
        <f t="shared" si="0"/>
        <v>3969</v>
      </c>
      <c r="D16" s="6">
        <f t="shared" si="1"/>
        <v>562500</v>
      </c>
      <c r="E16" s="1">
        <f t="shared" si="2"/>
        <v>47250</v>
      </c>
      <c r="F16" s="1">
        <f t="shared" si="3"/>
        <v>836.3</v>
      </c>
      <c r="G16" s="1">
        <f t="shared" si="4"/>
        <v>-253.70000000000005</v>
      </c>
      <c r="H16" s="1">
        <f t="shared" si="5"/>
        <v>64363.690000000024</v>
      </c>
      <c r="I16" s="1">
        <f t="shared" si="6"/>
        <v>-340</v>
      </c>
      <c r="J16" s="1">
        <f t="shared" si="7"/>
        <v>115600</v>
      </c>
      <c r="K16" s="62">
        <v>27</v>
      </c>
    </row>
    <row r="17" spans="1:10" ht="12.75">
      <c r="A17" s="44">
        <f>SUM(A3:A16)</f>
        <v>1295</v>
      </c>
      <c r="B17" s="46">
        <f>SUM(B3:B16)</f>
        <v>15260</v>
      </c>
      <c r="C17" s="44">
        <f>SUM(C3:C16)</f>
        <v>124411</v>
      </c>
      <c r="D17" s="46">
        <f>SUM(D3:D16)</f>
        <v>17025200</v>
      </c>
      <c r="E17" s="44">
        <f>SUM(E3:E16)</f>
        <v>1451292.5</v>
      </c>
      <c r="H17" s="13">
        <f>SUM(H3:H16)</f>
        <v>341954.05999999994</v>
      </c>
      <c r="J17" s="13">
        <f>SUM(J3:J16)</f>
        <v>391800</v>
      </c>
    </row>
    <row r="18" spans="1:10" s="47" customFormat="1" ht="14.25">
      <c r="A18" s="47" t="s">
        <v>176</v>
      </c>
      <c r="B18" s="48" t="s">
        <v>177</v>
      </c>
      <c r="C18" s="47" t="s">
        <v>178</v>
      </c>
      <c r="D18" s="48" t="s">
        <v>186</v>
      </c>
      <c r="E18" s="47" t="s">
        <v>179</v>
      </c>
      <c r="F18" s="47" t="s">
        <v>180</v>
      </c>
      <c r="G18" s="47" t="s">
        <v>181</v>
      </c>
      <c r="H18" s="47" t="s">
        <v>184</v>
      </c>
      <c r="I18" s="47" t="s">
        <v>182</v>
      </c>
      <c r="J18" s="47" t="s">
        <v>183</v>
      </c>
    </row>
    <row r="20" spans="1:3" ht="12.75">
      <c r="A20" s="1" t="s">
        <v>158</v>
      </c>
      <c r="B20" s="7" t="s">
        <v>159</v>
      </c>
      <c r="C20" s="1">
        <f>COUNT(A3:A16)</f>
        <v>14</v>
      </c>
    </row>
    <row r="21" spans="1:8" ht="12.75">
      <c r="A21" s="1" t="s">
        <v>172</v>
      </c>
      <c r="B21" s="7" t="s">
        <v>159</v>
      </c>
      <c r="C21" s="1">
        <f>C20*E17</f>
        <v>20318095</v>
      </c>
      <c r="F21" s="1" t="s">
        <v>167</v>
      </c>
      <c r="G21" s="7" t="s">
        <v>159</v>
      </c>
      <c r="H21" s="7" t="s">
        <v>168</v>
      </c>
    </row>
    <row r="22" spans="1:3" ht="12.75">
      <c r="A22" s="1" t="s">
        <v>173</v>
      </c>
      <c r="B22" s="7" t="s">
        <v>159</v>
      </c>
      <c r="C22" s="1">
        <f>A17*B17</f>
        <v>19761700</v>
      </c>
    </row>
    <row r="23" spans="1:8" ht="12.75">
      <c r="A23" s="1" t="s">
        <v>174</v>
      </c>
      <c r="B23" s="7" t="s">
        <v>159</v>
      </c>
      <c r="C23" s="1">
        <f>SQRT((C20*C17)-(A17^2))</f>
        <v>254.41894583540747</v>
      </c>
      <c r="F23" s="1" t="s">
        <v>169</v>
      </c>
      <c r="G23" s="7" t="s">
        <v>159</v>
      </c>
      <c r="H23" s="7">
        <f>B17/C20</f>
        <v>1090</v>
      </c>
    </row>
    <row r="24" spans="1:3" ht="12.75">
      <c r="A24" s="1" t="s">
        <v>175</v>
      </c>
      <c r="B24" s="7" t="s">
        <v>159</v>
      </c>
      <c r="C24" s="1">
        <f>SQRT((C20*D17)-(B17^2))</f>
        <v>2342.0503837449783</v>
      </c>
    </row>
    <row r="25" spans="6:8" ht="12.75">
      <c r="F25" s="1" t="s">
        <v>148</v>
      </c>
      <c r="G25" s="7" t="s">
        <v>159</v>
      </c>
      <c r="H25" s="7">
        <v>94.5</v>
      </c>
    </row>
    <row r="26" spans="1:4" ht="12.75">
      <c r="A26" s="13" t="s">
        <v>161</v>
      </c>
      <c r="B26" s="49" t="s">
        <v>159</v>
      </c>
      <c r="C26" s="50">
        <f>(C21-C22)/(C23*C24)</f>
        <v>0.933764881119586</v>
      </c>
      <c r="D26" s="45">
        <f>CORREL(A3:A16,B3:B16)</f>
        <v>0.9337648811195862</v>
      </c>
    </row>
    <row r="27" spans="6:9" ht="12.75">
      <c r="F27" s="13" t="s">
        <v>149</v>
      </c>
      <c r="G27" s="49" t="s">
        <v>159</v>
      </c>
      <c r="H27" s="49">
        <f>C36+(C32*H25)</f>
        <v>1107.1999999999998</v>
      </c>
      <c r="I27" s="44" t="s">
        <v>187</v>
      </c>
    </row>
    <row r="28" ht="12.75">
      <c r="C28" s="7" t="s">
        <v>162</v>
      </c>
    </row>
    <row r="29" spans="1:10" ht="12.75">
      <c r="A29" s="1" t="s">
        <v>163</v>
      </c>
      <c r="B29" s="7" t="s">
        <v>159</v>
      </c>
      <c r="C29" s="7"/>
      <c r="F29" s="13" t="s">
        <v>160</v>
      </c>
      <c r="G29" s="49" t="s">
        <v>159</v>
      </c>
      <c r="H29" s="50">
        <f>H17/J17</f>
        <v>0.8727770801429299</v>
      </c>
      <c r="I29" s="45"/>
      <c r="J29" s="45">
        <f>RSQ(B3:B16,A3:A16)</f>
        <v>0.8719168532122745</v>
      </c>
    </row>
    <row r="30" spans="2:3" ht="12.75">
      <c r="B30" s="7"/>
      <c r="C30" s="7" t="s">
        <v>164</v>
      </c>
    </row>
    <row r="31" spans="2:6" ht="14.25">
      <c r="B31" s="7"/>
      <c r="F31" s="1" t="s">
        <v>188</v>
      </c>
    </row>
    <row r="32" spans="2:6" ht="12.75">
      <c r="B32" s="7" t="s">
        <v>159</v>
      </c>
      <c r="C32" s="7">
        <f>ROUND((C21-C22)/((C20*C17)-(A17^2)),2)</f>
        <v>8.6</v>
      </c>
      <c r="F32" s="1" t="s">
        <v>189</v>
      </c>
    </row>
    <row r="33" ht="12.75">
      <c r="F33" s="1" t="s">
        <v>190</v>
      </c>
    </row>
    <row r="34" spans="1:3" ht="12.75">
      <c r="A34" s="1" t="s">
        <v>165</v>
      </c>
      <c r="B34" s="7" t="s">
        <v>159</v>
      </c>
      <c r="C34" s="7" t="s">
        <v>166</v>
      </c>
    </row>
    <row r="36" spans="2:3" ht="12.75">
      <c r="B36" s="7" t="s">
        <v>159</v>
      </c>
      <c r="C36" s="7">
        <f>ROUND((B17-(C32*A17))/C20,2)</f>
        <v>294.5</v>
      </c>
    </row>
    <row r="38" ht="12.75">
      <c r="A38" s="1" t="s">
        <v>191</v>
      </c>
    </row>
    <row r="39" ht="12.75">
      <c r="A39" s="1" t="s">
        <v>192</v>
      </c>
    </row>
    <row r="43" ht="12.75">
      <c r="B43" s="1">
        <f>(C21-C22)^2</f>
        <v>309575396025</v>
      </c>
    </row>
    <row r="44" ht="12.75">
      <c r="B44" s="1">
        <f>(C20*C17)-(A17^2)</f>
        <v>64729</v>
      </c>
    </row>
    <row r="45" ht="12.75">
      <c r="B45" s="1">
        <f>(C20*D17)-(B17^2)</f>
        <v>5485200</v>
      </c>
    </row>
    <row r="47" ht="12.75">
      <c r="B47" s="45">
        <f>B43/(B44*B45)</f>
        <v>0.8719168532122747</v>
      </c>
    </row>
  </sheetData>
  <printOptions horizontalCentered="1"/>
  <pageMargins left="0.67" right="0.65" top="0.61" bottom="0.59" header="0.4" footer="0.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pane ySplit="2" topLeftCell="BM12" activePane="bottomLeft" state="frozen"/>
      <selection pane="topLeft" activeCell="F20" sqref="F20"/>
      <selection pane="bottomLeft" activeCell="B3" sqref="B3:B16"/>
    </sheetView>
  </sheetViews>
  <sheetFormatPr defaultColWidth="9.140625" defaultRowHeight="12.75"/>
  <cols>
    <col min="1" max="1" width="13.28125" style="1" bestFit="1" customWidth="1"/>
    <col min="2" max="2" width="12.00390625" style="1" customWidth="1"/>
    <col min="3" max="3" width="13.8515625" style="1" bestFit="1" customWidth="1"/>
    <col min="4" max="4" width="13.28125" style="6" bestFit="1" customWidth="1"/>
    <col min="5" max="5" width="15.00390625" style="1" bestFit="1" customWidth="1"/>
    <col min="6" max="6" width="9.140625" style="1" bestFit="1" customWidth="1"/>
    <col min="7" max="7" width="8.28125" style="1" bestFit="1" customWidth="1"/>
    <col min="8" max="8" width="13.28125" style="1" bestFit="1" customWidth="1"/>
    <col min="9" max="9" width="8.57421875" style="1" bestFit="1" customWidth="1"/>
    <col min="10" max="10" width="13.28125" style="1" bestFit="1" customWidth="1"/>
    <col min="11" max="11" width="7.421875" style="1" customWidth="1"/>
    <col min="12" max="12" width="5.57421875" style="1" customWidth="1"/>
    <col min="13" max="16384" width="14.00390625" style="1" customWidth="1"/>
  </cols>
  <sheetData>
    <row r="1" spans="1:11" s="63" customFormat="1" ht="25.5">
      <c r="A1" s="51" t="s">
        <v>170</v>
      </c>
      <c r="B1" s="63" t="s">
        <v>147</v>
      </c>
      <c r="D1" s="64"/>
      <c r="K1" s="65" t="s">
        <v>195</v>
      </c>
    </row>
    <row r="2" spans="1:10" s="7" customFormat="1" ht="12.75">
      <c r="A2" s="7" t="s">
        <v>148</v>
      </c>
      <c r="B2" s="7" t="s">
        <v>149</v>
      </c>
      <c r="C2" s="7" t="s">
        <v>150</v>
      </c>
      <c r="D2" s="12" t="s">
        <v>151</v>
      </c>
      <c r="E2" s="7" t="s">
        <v>152</v>
      </c>
      <c r="F2" s="7" t="s">
        <v>153</v>
      </c>
      <c r="G2" s="7" t="s">
        <v>154</v>
      </c>
      <c r="H2" s="7" t="s">
        <v>155</v>
      </c>
      <c r="I2" s="7" t="s">
        <v>156</v>
      </c>
      <c r="J2" s="7" t="s">
        <v>157</v>
      </c>
    </row>
    <row r="3" spans="1:13" ht="12.75">
      <c r="A3" s="1">
        <v>126</v>
      </c>
      <c r="B3" s="6">
        <v>1350</v>
      </c>
      <c r="C3" s="1">
        <f aca="true" t="shared" si="0" ref="C3:C16">A3^2</f>
        <v>15876</v>
      </c>
      <c r="D3" s="6">
        <f aca="true" t="shared" si="1" ref="D3:D16">B3^2</f>
        <v>1822500</v>
      </c>
      <c r="E3" s="1">
        <f aca="true" t="shared" si="2" ref="E3:E16">A3*B3</f>
        <v>170100</v>
      </c>
      <c r="F3" s="1">
        <f aca="true" t="shared" si="3" ref="F3:F16">C$36+(C$32*A3)</f>
        <v>1378.1</v>
      </c>
      <c r="G3" s="1">
        <f aca="true" t="shared" si="4" ref="G3:G16">F3-H$23</f>
        <v>288.0999999999999</v>
      </c>
      <c r="H3" s="1">
        <f aca="true" t="shared" si="5" ref="H3:H16">G3^2</f>
        <v>83001.60999999994</v>
      </c>
      <c r="I3" s="1">
        <f aca="true" t="shared" si="6" ref="I3:I16">B3-H$23</f>
        <v>260</v>
      </c>
      <c r="J3" s="1">
        <f aca="true" t="shared" si="7" ref="J3:J16">I3^2</f>
        <v>67600</v>
      </c>
      <c r="K3" s="62">
        <v>27</v>
      </c>
      <c r="M3" s="1">
        <f>B3*0.75</f>
        <v>1012.5</v>
      </c>
    </row>
    <row r="4" spans="1:13" ht="12.75">
      <c r="A4" s="1">
        <v>115.5</v>
      </c>
      <c r="B4" s="6">
        <v>1270</v>
      </c>
      <c r="C4" s="1">
        <f t="shared" si="0"/>
        <v>13340.25</v>
      </c>
      <c r="D4" s="6">
        <f t="shared" si="1"/>
        <v>1612900</v>
      </c>
      <c r="E4" s="1">
        <f t="shared" si="2"/>
        <v>146685</v>
      </c>
      <c r="F4" s="1">
        <f t="shared" si="3"/>
        <v>1287.8</v>
      </c>
      <c r="G4" s="1">
        <f t="shared" si="4"/>
        <v>197.79999999999995</v>
      </c>
      <c r="H4" s="1">
        <f t="shared" si="5"/>
        <v>39124.83999999998</v>
      </c>
      <c r="I4" s="1">
        <f t="shared" si="6"/>
        <v>180</v>
      </c>
      <c r="J4" s="1">
        <f t="shared" si="7"/>
        <v>32400</v>
      </c>
      <c r="K4" s="62">
        <v>27</v>
      </c>
      <c r="M4" s="1">
        <f aca="true" t="shared" si="8" ref="M4:M16">B4*0.75</f>
        <v>952.5</v>
      </c>
    </row>
    <row r="5" spans="1:13" ht="12.75">
      <c r="A5" s="1">
        <v>112</v>
      </c>
      <c r="B5" s="6">
        <v>1270</v>
      </c>
      <c r="C5" s="1">
        <f t="shared" si="0"/>
        <v>12544</v>
      </c>
      <c r="D5" s="6">
        <f t="shared" si="1"/>
        <v>1612900</v>
      </c>
      <c r="E5" s="1">
        <f t="shared" si="2"/>
        <v>142240</v>
      </c>
      <c r="F5" s="1">
        <f t="shared" si="3"/>
        <v>1257.6999999999998</v>
      </c>
      <c r="G5" s="1">
        <f t="shared" si="4"/>
        <v>167.69999999999982</v>
      </c>
      <c r="H5" s="1">
        <f t="shared" si="5"/>
        <v>28123.28999999994</v>
      </c>
      <c r="I5" s="1">
        <f t="shared" si="6"/>
        <v>180</v>
      </c>
      <c r="J5" s="1">
        <f t="shared" si="7"/>
        <v>32400</v>
      </c>
      <c r="K5" s="62">
        <v>27</v>
      </c>
      <c r="M5" s="1">
        <f t="shared" si="8"/>
        <v>952.5</v>
      </c>
    </row>
    <row r="6" spans="1:13" ht="12.75">
      <c r="A6" s="1">
        <v>108.5</v>
      </c>
      <c r="B6" s="6">
        <v>1240</v>
      </c>
      <c r="C6" s="1">
        <f t="shared" si="0"/>
        <v>11772.25</v>
      </c>
      <c r="D6" s="6">
        <f t="shared" si="1"/>
        <v>1537600</v>
      </c>
      <c r="E6" s="1">
        <f t="shared" si="2"/>
        <v>134540</v>
      </c>
      <c r="F6" s="1">
        <f t="shared" si="3"/>
        <v>1227.6</v>
      </c>
      <c r="G6" s="1">
        <f t="shared" si="4"/>
        <v>137.5999999999999</v>
      </c>
      <c r="H6" s="1">
        <f t="shared" si="5"/>
        <v>18933.759999999977</v>
      </c>
      <c r="I6" s="1">
        <f t="shared" si="6"/>
        <v>150</v>
      </c>
      <c r="J6" s="1">
        <f t="shared" si="7"/>
        <v>22500</v>
      </c>
      <c r="K6" s="62">
        <v>27</v>
      </c>
      <c r="M6" s="1">
        <f t="shared" si="8"/>
        <v>930</v>
      </c>
    </row>
    <row r="7" spans="1:13" ht="12.75">
      <c r="A7" s="1">
        <v>101.5</v>
      </c>
      <c r="B7" s="6">
        <v>1160</v>
      </c>
      <c r="C7" s="1">
        <f t="shared" si="0"/>
        <v>10302.25</v>
      </c>
      <c r="D7" s="6">
        <f t="shared" si="1"/>
        <v>1345600</v>
      </c>
      <c r="E7" s="1">
        <f t="shared" si="2"/>
        <v>117740</v>
      </c>
      <c r="F7" s="1">
        <f t="shared" si="3"/>
        <v>1167.4</v>
      </c>
      <c r="G7" s="1">
        <f t="shared" si="4"/>
        <v>77.40000000000009</v>
      </c>
      <c r="H7" s="1">
        <f t="shared" si="5"/>
        <v>5990.760000000014</v>
      </c>
      <c r="I7" s="1">
        <f t="shared" si="6"/>
        <v>70</v>
      </c>
      <c r="J7" s="1">
        <f t="shared" si="7"/>
        <v>4900</v>
      </c>
      <c r="K7" s="62">
        <v>27</v>
      </c>
      <c r="M7" s="1">
        <f t="shared" si="8"/>
        <v>870</v>
      </c>
    </row>
    <row r="8" spans="1:13" ht="12.75">
      <c r="A8" s="1">
        <v>99.75</v>
      </c>
      <c r="B8" s="6">
        <v>1050</v>
      </c>
      <c r="C8" s="1">
        <f t="shared" si="0"/>
        <v>9950.0625</v>
      </c>
      <c r="D8" s="6">
        <f t="shared" si="1"/>
        <v>1102500</v>
      </c>
      <c r="E8" s="1">
        <f t="shared" si="2"/>
        <v>104737.5</v>
      </c>
      <c r="F8" s="1">
        <f t="shared" si="3"/>
        <v>1152.35</v>
      </c>
      <c r="G8" s="1">
        <f t="shared" si="4"/>
        <v>62.34999999999991</v>
      </c>
      <c r="H8" s="1">
        <f t="shared" si="5"/>
        <v>3887.5224999999887</v>
      </c>
      <c r="I8" s="1">
        <f t="shared" si="6"/>
        <v>-40</v>
      </c>
      <c r="J8" s="1">
        <f t="shared" si="7"/>
        <v>1600</v>
      </c>
      <c r="K8" s="62">
        <v>27</v>
      </c>
      <c r="M8" s="1">
        <f t="shared" si="8"/>
        <v>787.5</v>
      </c>
    </row>
    <row r="9" spans="1:13" ht="12.75">
      <c r="A9" s="1">
        <v>92.75</v>
      </c>
      <c r="B9" s="6">
        <v>1090</v>
      </c>
      <c r="C9" s="1">
        <f t="shared" si="0"/>
        <v>8602.5625</v>
      </c>
      <c r="D9" s="6">
        <f t="shared" si="1"/>
        <v>1188100</v>
      </c>
      <c r="E9" s="1">
        <f t="shared" si="2"/>
        <v>101097.5</v>
      </c>
      <c r="F9" s="1">
        <f t="shared" si="3"/>
        <v>1092.15</v>
      </c>
      <c r="G9" s="1">
        <f t="shared" si="4"/>
        <v>2.150000000000091</v>
      </c>
      <c r="H9" s="1">
        <f t="shared" si="5"/>
        <v>4.622500000000391</v>
      </c>
      <c r="I9" s="1">
        <f t="shared" si="6"/>
        <v>0</v>
      </c>
      <c r="J9" s="1">
        <f t="shared" si="7"/>
        <v>0</v>
      </c>
      <c r="K9" s="62">
        <v>27</v>
      </c>
      <c r="M9" s="1">
        <f t="shared" si="8"/>
        <v>817.5</v>
      </c>
    </row>
    <row r="10" spans="1:13" ht="12.75">
      <c r="A10" s="1">
        <v>87.5</v>
      </c>
      <c r="B10" s="6">
        <v>1200</v>
      </c>
      <c r="C10" s="1">
        <f t="shared" si="0"/>
        <v>7656.25</v>
      </c>
      <c r="D10" s="6">
        <f t="shared" si="1"/>
        <v>1440000</v>
      </c>
      <c r="E10" s="1">
        <f t="shared" si="2"/>
        <v>105000</v>
      </c>
      <c r="F10" s="1">
        <f t="shared" si="3"/>
        <v>1047</v>
      </c>
      <c r="G10" s="1">
        <f t="shared" si="4"/>
        <v>-43</v>
      </c>
      <c r="H10" s="1">
        <f t="shared" si="5"/>
        <v>1849</v>
      </c>
      <c r="I10" s="1">
        <f t="shared" si="6"/>
        <v>110</v>
      </c>
      <c r="J10" s="1">
        <f t="shared" si="7"/>
        <v>12100</v>
      </c>
      <c r="K10" s="62">
        <v>27</v>
      </c>
      <c r="M10" s="1">
        <f t="shared" si="8"/>
        <v>900</v>
      </c>
    </row>
    <row r="11" spans="1:13" ht="12.75">
      <c r="A11" s="1">
        <v>85.75</v>
      </c>
      <c r="B11" s="6">
        <v>1050</v>
      </c>
      <c r="C11" s="1">
        <f t="shared" si="0"/>
        <v>7353.0625</v>
      </c>
      <c r="D11" s="6">
        <f t="shared" si="1"/>
        <v>1102500</v>
      </c>
      <c r="E11" s="1">
        <f t="shared" si="2"/>
        <v>90037.5</v>
      </c>
      <c r="F11" s="1">
        <f t="shared" si="3"/>
        <v>1031.9499999999998</v>
      </c>
      <c r="G11" s="1">
        <f t="shared" si="4"/>
        <v>-58.05000000000018</v>
      </c>
      <c r="H11" s="1">
        <f t="shared" si="5"/>
        <v>3369.802500000021</v>
      </c>
      <c r="I11" s="1">
        <f t="shared" si="6"/>
        <v>-40</v>
      </c>
      <c r="J11" s="1">
        <f t="shared" si="7"/>
        <v>1600</v>
      </c>
      <c r="K11" s="62">
        <v>27</v>
      </c>
      <c r="M11" s="1">
        <f t="shared" si="8"/>
        <v>787.5</v>
      </c>
    </row>
    <row r="12" spans="1:13" ht="12.75">
      <c r="A12" s="1">
        <v>84</v>
      </c>
      <c r="B12" s="6">
        <v>1090</v>
      </c>
      <c r="C12" s="1">
        <f t="shared" si="0"/>
        <v>7056</v>
      </c>
      <c r="D12" s="6">
        <f t="shared" si="1"/>
        <v>1188100</v>
      </c>
      <c r="E12" s="1">
        <f t="shared" si="2"/>
        <v>91560</v>
      </c>
      <c r="F12" s="1">
        <f t="shared" si="3"/>
        <v>1016.9</v>
      </c>
      <c r="G12" s="1">
        <f t="shared" si="4"/>
        <v>-73.10000000000002</v>
      </c>
      <c r="H12" s="1">
        <f t="shared" si="5"/>
        <v>5343.610000000003</v>
      </c>
      <c r="I12" s="1">
        <f t="shared" si="6"/>
        <v>0</v>
      </c>
      <c r="J12" s="1">
        <f t="shared" si="7"/>
        <v>0</v>
      </c>
      <c r="K12" s="62">
        <v>27</v>
      </c>
      <c r="M12" s="1">
        <f t="shared" si="8"/>
        <v>817.5</v>
      </c>
    </row>
    <row r="13" spans="1:13" ht="12.75">
      <c r="A13" s="1">
        <v>77</v>
      </c>
      <c r="B13" s="6">
        <v>980</v>
      </c>
      <c r="C13" s="1">
        <f t="shared" si="0"/>
        <v>5929</v>
      </c>
      <c r="D13" s="6">
        <f t="shared" si="1"/>
        <v>960400</v>
      </c>
      <c r="E13" s="1">
        <f t="shared" si="2"/>
        <v>75460</v>
      </c>
      <c r="F13" s="1">
        <f t="shared" si="3"/>
        <v>956.6999999999999</v>
      </c>
      <c r="G13" s="1">
        <f t="shared" si="4"/>
        <v>-133.30000000000007</v>
      </c>
      <c r="H13" s="1">
        <f t="shared" si="5"/>
        <v>17768.890000000018</v>
      </c>
      <c r="I13" s="1">
        <f t="shared" si="6"/>
        <v>-110</v>
      </c>
      <c r="J13" s="1">
        <f t="shared" si="7"/>
        <v>12100</v>
      </c>
      <c r="K13" s="62">
        <v>27</v>
      </c>
      <c r="M13" s="1">
        <f t="shared" si="8"/>
        <v>735</v>
      </c>
    </row>
    <row r="14" spans="1:13" ht="12.75">
      <c r="A14" s="1">
        <v>73.5</v>
      </c>
      <c r="B14" s="6">
        <v>900</v>
      </c>
      <c r="C14" s="1">
        <f t="shared" si="0"/>
        <v>5402.25</v>
      </c>
      <c r="D14" s="6">
        <f t="shared" si="1"/>
        <v>810000</v>
      </c>
      <c r="E14" s="1">
        <f t="shared" si="2"/>
        <v>66150</v>
      </c>
      <c r="F14" s="1">
        <f t="shared" si="3"/>
        <v>926.6</v>
      </c>
      <c r="G14" s="1">
        <f t="shared" si="4"/>
        <v>-163.39999999999998</v>
      </c>
      <c r="H14" s="1">
        <f t="shared" si="5"/>
        <v>26699.559999999994</v>
      </c>
      <c r="I14" s="1">
        <f t="shared" si="6"/>
        <v>-190</v>
      </c>
      <c r="J14" s="1">
        <f t="shared" si="7"/>
        <v>36100</v>
      </c>
      <c r="K14" s="62">
        <v>27</v>
      </c>
      <c r="M14" s="1">
        <f t="shared" si="8"/>
        <v>675</v>
      </c>
    </row>
    <row r="15" spans="1:13" ht="12.75">
      <c r="A15" s="1">
        <v>68.25</v>
      </c>
      <c r="B15" s="6">
        <v>860</v>
      </c>
      <c r="C15" s="1">
        <f t="shared" si="0"/>
        <v>4658.0625</v>
      </c>
      <c r="D15" s="6">
        <f t="shared" si="1"/>
        <v>739600</v>
      </c>
      <c r="E15" s="1">
        <f t="shared" si="2"/>
        <v>58695</v>
      </c>
      <c r="F15" s="1">
        <f t="shared" si="3"/>
        <v>881.4499999999999</v>
      </c>
      <c r="G15" s="1">
        <f t="shared" si="4"/>
        <v>-208.55000000000007</v>
      </c>
      <c r="H15" s="1">
        <f t="shared" si="5"/>
        <v>43493.10250000003</v>
      </c>
      <c r="I15" s="1">
        <f t="shared" si="6"/>
        <v>-230</v>
      </c>
      <c r="J15" s="1">
        <f t="shared" si="7"/>
        <v>52900</v>
      </c>
      <c r="K15" s="62">
        <v>27</v>
      </c>
      <c r="M15" s="1">
        <f t="shared" si="8"/>
        <v>645</v>
      </c>
    </row>
    <row r="16" spans="1:13" ht="12.75">
      <c r="A16" s="1">
        <v>63</v>
      </c>
      <c r="B16" s="6">
        <v>750</v>
      </c>
      <c r="C16" s="1">
        <f t="shared" si="0"/>
        <v>3969</v>
      </c>
      <c r="D16" s="6">
        <f t="shared" si="1"/>
        <v>562500</v>
      </c>
      <c r="E16" s="1">
        <f t="shared" si="2"/>
        <v>47250</v>
      </c>
      <c r="F16" s="1">
        <f t="shared" si="3"/>
        <v>836.3</v>
      </c>
      <c r="G16" s="1">
        <f t="shared" si="4"/>
        <v>-253.70000000000005</v>
      </c>
      <c r="H16" s="1">
        <f t="shared" si="5"/>
        <v>64363.690000000024</v>
      </c>
      <c r="I16" s="1">
        <f t="shared" si="6"/>
        <v>-340</v>
      </c>
      <c r="J16" s="1">
        <f t="shared" si="7"/>
        <v>115600</v>
      </c>
      <c r="K16" s="62">
        <v>27</v>
      </c>
      <c r="M16" s="1">
        <f t="shared" si="8"/>
        <v>562.5</v>
      </c>
    </row>
    <row r="17" spans="1:10" ht="12.75">
      <c r="A17" s="44">
        <f>SUM(A3:A16)</f>
        <v>1295</v>
      </c>
      <c r="B17" s="46">
        <f>SUM(B3:B16)</f>
        <v>15260</v>
      </c>
      <c r="C17" s="44">
        <f>SUM(C3:C16)</f>
        <v>124411</v>
      </c>
      <c r="D17" s="46">
        <f>SUM(D3:D16)</f>
        <v>17025200</v>
      </c>
      <c r="E17" s="44">
        <f>SUM(E3:E16)</f>
        <v>1451292.5</v>
      </c>
      <c r="H17" s="13">
        <f>SUM(H3:H16)</f>
        <v>341954.05999999994</v>
      </c>
      <c r="J17" s="13">
        <f>SUM(J3:J16)</f>
        <v>391800</v>
      </c>
    </row>
    <row r="18" spans="1:10" s="47" customFormat="1" ht="14.25">
      <c r="A18" s="47" t="s">
        <v>176</v>
      </c>
      <c r="B18" s="48" t="s">
        <v>177</v>
      </c>
      <c r="C18" s="47" t="s">
        <v>178</v>
      </c>
      <c r="D18" s="48" t="s">
        <v>186</v>
      </c>
      <c r="E18" s="47" t="s">
        <v>179</v>
      </c>
      <c r="F18" s="47" t="s">
        <v>180</v>
      </c>
      <c r="G18" s="47" t="s">
        <v>181</v>
      </c>
      <c r="H18" s="47" t="s">
        <v>184</v>
      </c>
      <c r="I18" s="47" t="s">
        <v>182</v>
      </c>
      <c r="J18" s="47" t="s">
        <v>183</v>
      </c>
    </row>
    <row r="20" spans="1:3" ht="12.75">
      <c r="A20" s="1" t="s">
        <v>158</v>
      </c>
      <c r="B20" s="7" t="s">
        <v>159</v>
      </c>
      <c r="C20" s="1">
        <f>COUNT(A3:A16)</f>
        <v>14</v>
      </c>
    </row>
    <row r="21" spans="1:8" ht="12.75">
      <c r="A21" s="1" t="s">
        <v>172</v>
      </c>
      <c r="B21" s="7" t="s">
        <v>159</v>
      </c>
      <c r="C21" s="1">
        <f>C20*E17</f>
        <v>20318095</v>
      </c>
      <c r="F21" s="1" t="s">
        <v>167</v>
      </c>
      <c r="G21" s="7" t="s">
        <v>159</v>
      </c>
      <c r="H21" s="7" t="s">
        <v>168</v>
      </c>
    </row>
    <row r="22" spans="1:3" ht="12.75">
      <c r="A22" s="1" t="s">
        <v>173</v>
      </c>
      <c r="B22" s="7" t="s">
        <v>159</v>
      </c>
      <c r="C22" s="1">
        <f>A17*B17</f>
        <v>19761700</v>
      </c>
    </row>
    <row r="23" spans="1:8" ht="12.75">
      <c r="A23" s="1" t="s">
        <v>174</v>
      </c>
      <c r="B23" s="7" t="s">
        <v>159</v>
      </c>
      <c r="C23" s="1">
        <f>SQRT((C20*C17)-(A17^2))</f>
        <v>254.41894583540747</v>
      </c>
      <c r="F23" s="1" t="s">
        <v>169</v>
      </c>
      <c r="G23" s="7" t="s">
        <v>159</v>
      </c>
      <c r="H23" s="7">
        <f>B17/C20</f>
        <v>1090</v>
      </c>
    </row>
    <row r="24" spans="1:3" ht="12.75">
      <c r="A24" s="1" t="s">
        <v>175</v>
      </c>
      <c r="B24" s="7" t="s">
        <v>159</v>
      </c>
      <c r="C24" s="1">
        <f>SQRT((C20*D17)-(B17^2))</f>
        <v>2342.0503837449783</v>
      </c>
    </row>
    <row r="25" spans="6:8" ht="12.75">
      <c r="F25" s="1" t="s">
        <v>148</v>
      </c>
      <c r="G25" s="7" t="s">
        <v>159</v>
      </c>
      <c r="H25" s="7">
        <v>94.5</v>
      </c>
    </row>
    <row r="26" spans="1:4" ht="12.75">
      <c r="A26" s="13" t="s">
        <v>161</v>
      </c>
      <c r="B26" s="49" t="s">
        <v>159</v>
      </c>
      <c r="C26" s="50">
        <f>(C21-C22)/(C23*C24)</f>
        <v>0.933764881119586</v>
      </c>
      <c r="D26" s="45"/>
    </row>
    <row r="27" spans="6:9" ht="12.75">
      <c r="F27" s="13" t="s">
        <v>149</v>
      </c>
      <c r="G27" s="49" t="s">
        <v>159</v>
      </c>
      <c r="H27" s="49">
        <f>C36+(C32*H25)</f>
        <v>1107.1999999999998</v>
      </c>
      <c r="I27" s="44" t="s">
        <v>187</v>
      </c>
    </row>
    <row r="28" ht="12.75">
      <c r="C28" s="7" t="s">
        <v>162</v>
      </c>
    </row>
    <row r="29" spans="1:9" ht="12.75">
      <c r="A29" s="1" t="s">
        <v>163</v>
      </c>
      <c r="B29" s="7" t="s">
        <v>159</v>
      </c>
      <c r="C29" s="7"/>
      <c r="F29" s="13" t="s">
        <v>160</v>
      </c>
      <c r="G29" s="49" t="s">
        <v>159</v>
      </c>
      <c r="H29" s="50">
        <f>H17/J17</f>
        <v>0.8727770801429299</v>
      </c>
      <c r="I29" s="45"/>
    </row>
    <row r="30" spans="2:3" ht="12.75">
      <c r="B30" s="7"/>
      <c r="C30" s="7" t="s">
        <v>164</v>
      </c>
    </row>
    <row r="31" spans="2:6" ht="14.25">
      <c r="B31" s="7"/>
      <c r="F31" s="1" t="s">
        <v>188</v>
      </c>
    </row>
    <row r="32" spans="2:6" ht="12.75">
      <c r="B32" s="7" t="s">
        <v>159</v>
      </c>
      <c r="C32" s="7">
        <f>ROUND((C21-C22)/((C20*C17)-(A17^2)),2)</f>
        <v>8.6</v>
      </c>
      <c r="F32" s="1" t="s">
        <v>189</v>
      </c>
    </row>
    <row r="33" ht="12.75">
      <c r="F33" s="1" t="s">
        <v>190</v>
      </c>
    </row>
    <row r="34" spans="1:3" ht="12.75">
      <c r="A34" s="1" t="s">
        <v>165</v>
      </c>
      <c r="B34" s="7" t="s">
        <v>159</v>
      </c>
      <c r="C34" s="7" t="s">
        <v>166</v>
      </c>
    </row>
    <row r="36" spans="2:3" ht="12.75">
      <c r="B36" s="7" t="s">
        <v>159</v>
      </c>
      <c r="C36" s="7">
        <f>ROUND((B17-(C32*A17))/C20,2)</f>
        <v>294.5</v>
      </c>
    </row>
    <row r="38" ht="12.75">
      <c r="A38" s="1" t="s">
        <v>191</v>
      </c>
    </row>
    <row r="39" ht="12.75">
      <c r="A39" s="1" t="s">
        <v>192</v>
      </c>
    </row>
  </sheetData>
  <printOptions horizontalCentered="1"/>
  <pageMargins left="0.67" right="0.65" top="0.61" bottom="0.59" header="0.4" footer="0.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">
      <pane ySplit="2" topLeftCell="BM3" activePane="bottomLeft" state="frozen"/>
      <selection pane="topLeft" activeCell="F20" sqref="F20"/>
      <selection pane="bottomLeft" activeCell="C26" sqref="C26"/>
    </sheetView>
  </sheetViews>
  <sheetFormatPr defaultColWidth="9.140625" defaultRowHeight="12.75"/>
  <cols>
    <col min="1" max="1" width="13.28125" style="1" bestFit="1" customWidth="1"/>
    <col min="2" max="2" width="12.00390625" style="1" customWidth="1"/>
    <col min="3" max="3" width="13.8515625" style="1" bestFit="1" customWidth="1"/>
    <col min="4" max="4" width="13.28125" style="6" bestFit="1" customWidth="1"/>
    <col min="5" max="5" width="15.00390625" style="1" bestFit="1" customWidth="1"/>
    <col min="6" max="6" width="9.140625" style="1" bestFit="1" customWidth="1"/>
    <col min="7" max="7" width="8.28125" style="1" bestFit="1" customWidth="1"/>
    <col min="8" max="8" width="13.28125" style="1" bestFit="1" customWidth="1"/>
    <col min="9" max="9" width="8.57421875" style="1" bestFit="1" customWidth="1"/>
    <col min="10" max="10" width="13.28125" style="1" bestFit="1" customWidth="1"/>
    <col min="11" max="11" width="7.421875" style="1" customWidth="1"/>
    <col min="12" max="12" width="5.57421875" style="1" customWidth="1"/>
    <col min="13" max="16384" width="14.00390625" style="1" customWidth="1"/>
  </cols>
  <sheetData>
    <row r="1" spans="1:11" s="63" customFormat="1" ht="25.5">
      <c r="A1" s="51" t="s">
        <v>170</v>
      </c>
      <c r="B1" s="63" t="s">
        <v>147</v>
      </c>
      <c r="D1" s="64"/>
      <c r="K1" s="65" t="s">
        <v>195</v>
      </c>
    </row>
    <row r="2" spans="1:10" s="7" customFormat="1" ht="12.75">
      <c r="A2" s="7" t="s">
        <v>148</v>
      </c>
      <c r="B2" s="7" t="s">
        <v>149</v>
      </c>
      <c r="C2" s="7" t="s">
        <v>150</v>
      </c>
      <c r="D2" s="12" t="s">
        <v>151</v>
      </c>
      <c r="E2" s="7" t="s">
        <v>152</v>
      </c>
      <c r="F2" s="7" t="s">
        <v>153</v>
      </c>
      <c r="G2" s="7" t="s">
        <v>154</v>
      </c>
      <c r="H2" s="7" t="s">
        <v>155</v>
      </c>
      <c r="I2" s="7" t="s">
        <v>156</v>
      </c>
      <c r="J2" s="7" t="s">
        <v>157</v>
      </c>
    </row>
    <row r="3" spans="1:11" ht="12.75">
      <c r="A3" s="1">
        <v>126</v>
      </c>
      <c r="B3" s="6">
        <v>1800</v>
      </c>
      <c r="C3" s="1">
        <f>A3^2</f>
        <v>15876</v>
      </c>
      <c r="D3" s="6">
        <f>B3^2</f>
        <v>3240000</v>
      </c>
      <c r="E3" s="1">
        <f>A3*B3</f>
        <v>226800</v>
      </c>
      <c r="F3" s="1">
        <f aca="true" t="shared" si="0" ref="F3:F16">C$36+(C$32*A3)</f>
        <v>1839.761544284633</v>
      </c>
      <c r="G3" s="1">
        <f aca="true" t="shared" si="1" ref="G3:G16">F3-H$23</f>
        <v>386.19011571320425</v>
      </c>
      <c r="H3" s="1">
        <f>G3^2</f>
        <v>149142.80547457808</v>
      </c>
      <c r="I3" s="1">
        <f aca="true" t="shared" si="2" ref="I3:I16">B3-H$23</f>
        <v>346.42857142857133</v>
      </c>
      <c r="J3" s="1">
        <f>I3^2</f>
        <v>120012.75510204076</v>
      </c>
      <c r="K3" s="62">
        <v>27</v>
      </c>
    </row>
    <row r="4" spans="1:11" ht="12.75">
      <c r="A4" s="1">
        <v>115.5</v>
      </c>
      <c r="B4" s="6">
        <v>1700</v>
      </c>
      <c r="C4" s="1">
        <f aca="true" t="shared" si="3" ref="C4:C16">A4^2</f>
        <v>13340.25</v>
      </c>
      <c r="D4" s="6">
        <f aca="true" t="shared" si="4" ref="D4:D16">B4^2</f>
        <v>2890000</v>
      </c>
      <c r="E4" s="1">
        <f aca="true" t="shared" si="5" ref="E4:E16">A4*B4</f>
        <v>196350</v>
      </c>
      <c r="F4" s="1">
        <f t="shared" si="0"/>
        <v>1718.7168811506435</v>
      </c>
      <c r="G4" s="1">
        <f t="shared" si="1"/>
        <v>265.14545257921486</v>
      </c>
      <c r="H4" s="1">
        <f aca="true" t="shared" si="6" ref="H4:H16">G4^2</f>
        <v>70302.11102343668</v>
      </c>
      <c r="I4" s="1">
        <f t="shared" si="2"/>
        <v>246.42857142857133</v>
      </c>
      <c r="J4" s="1">
        <f aca="true" t="shared" si="7" ref="J4:J16">I4^2</f>
        <v>60727.04081632648</v>
      </c>
      <c r="K4" s="62">
        <v>27</v>
      </c>
    </row>
    <row r="5" spans="1:11" ht="12.75">
      <c r="A5" s="1">
        <v>112</v>
      </c>
      <c r="B5" s="6">
        <v>1700</v>
      </c>
      <c r="C5" s="1">
        <f t="shared" si="3"/>
        <v>12544</v>
      </c>
      <c r="D5" s="6">
        <f t="shared" si="4"/>
        <v>2890000</v>
      </c>
      <c r="E5" s="1">
        <f t="shared" si="5"/>
        <v>190400</v>
      </c>
      <c r="F5" s="1">
        <f t="shared" si="0"/>
        <v>1678.3686601059803</v>
      </c>
      <c r="G5" s="1">
        <f t="shared" si="1"/>
        <v>224.79723153455166</v>
      </c>
      <c r="H5" s="1">
        <f t="shared" si="6"/>
        <v>50533.795305598826</v>
      </c>
      <c r="I5" s="1">
        <f t="shared" si="2"/>
        <v>246.42857142857133</v>
      </c>
      <c r="J5" s="1">
        <f t="shared" si="7"/>
        <v>60727.04081632648</v>
      </c>
      <c r="K5" s="62">
        <v>27</v>
      </c>
    </row>
    <row r="6" spans="1:11" ht="12.75">
      <c r="A6" s="1">
        <v>108.5</v>
      </c>
      <c r="B6" s="6">
        <v>1650</v>
      </c>
      <c r="C6" s="1">
        <f t="shared" si="3"/>
        <v>11772.25</v>
      </c>
      <c r="D6" s="6">
        <f t="shared" si="4"/>
        <v>2722500</v>
      </c>
      <c r="E6" s="1">
        <f t="shared" si="5"/>
        <v>179025</v>
      </c>
      <c r="F6" s="1">
        <f t="shared" si="0"/>
        <v>1638.0204390613173</v>
      </c>
      <c r="G6" s="1">
        <f t="shared" si="1"/>
        <v>184.44901048988868</v>
      </c>
      <c r="H6" s="1">
        <f t="shared" si="6"/>
        <v>34021.437470699064</v>
      </c>
      <c r="I6" s="1">
        <f t="shared" si="2"/>
        <v>196.42857142857133</v>
      </c>
      <c r="J6" s="1">
        <f t="shared" si="7"/>
        <v>38584.18367346935</v>
      </c>
      <c r="K6" s="62">
        <v>27</v>
      </c>
    </row>
    <row r="7" spans="1:11" ht="12.75">
      <c r="A7" s="1">
        <v>101.5</v>
      </c>
      <c r="B7" s="6">
        <v>1550</v>
      </c>
      <c r="C7" s="1">
        <f t="shared" si="3"/>
        <v>10302.25</v>
      </c>
      <c r="D7" s="6">
        <f t="shared" si="4"/>
        <v>2402500</v>
      </c>
      <c r="E7" s="1">
        <f t="shared" si="5"/>
        <v>157325</v>
      </c>
      <c r="F7" s="1">
        <f t="shared" si="0"/>
        <v>1557.323996971991</v>
      </c>
      <c r="G7" s="1">
        <f t="shared" si="1"/>
        <v>103.75256840056227</v>
      </c>
      <c r="H7" s="1">
        <f t="shared" si="6"/>
        <v>10764.595449713352</v>
      </c>
      <c r="I7" s="1">
        <f t="shared" si="2"/>
        <v>96.42857142857133</v>
      </c>
      <c r="J7" s="1">
        <f t="shared" si="7"/>
        <v>9298.469387755084</v>
      </c>
      <c r="K7" s="62">
        <v>27</v>
      </c>
    </row>
    <row r="8" spans="1:11" ht="12.75">
      <c r="A8" s="1">
        <v>99.75</v>
      </c>
      <c r="B8" s="6">
        <v>1400</v>
      </c>
      <c r="C8" s="1">
        <f t="shared" si="3"/>
        <v>9950.0625</v>
      </c>
      <c r="D8" s="6">
        <f t="shared" si="4"/>
        <v>1960000</v>
      </c>
      <c r="E8" s="1">
        <f t="shared" si="5"/>
        <v>139650</v>
      </c>
      <c r="F8" s="1">
        <f t="shared" si="0"/>
        <v>1537.1498864496593</v>
      </c>
      <c r="G8" s="1">
        <f t="shared" si="1"/>
        <v>83.57845787823067</v>
      </c>
      <c r="H8" s="1">
        <f t="shared" si="6"/>
        <v>6985.358621303178</v>
      </c>
      <c r="I8" s="1">
        <f t="shared" si="2"/>
        <v>-53.57142857142867</v>
      </c>
      <c r="J8" s="1">
        <f t="shared" si="7"/>
        <v>2869.8979591836837</v>
      </c>
      <c r="K8" s="62">
        <v>27</v>
      </c>
    </row>
    <row r="9" spans="1:11" ht="12.75">
      <c r="A9" s="1">
        <v>92.75</v>
      </c>
      <c r="B9" s="6">
        <v>1450</v>
      </c>
      <c r="C9" s="1">
        <f t="shared" si="3"/>
        <v>8602.5625</v>
      </c>
      <c r="D9" s="6">
        <f t="shared" si="4"/>
        <v>2102500</v>
      </c>
      <c r="E9" s="1">
        <f t="shared" si="5"/>
        <v>134487.5</v>
      </c>
      <c r="F9" s="1">
        <f t="shared" si="0"/>
        <v>1456.4534443603332</v>
      </c>
      <c r="G9" s="1">
        <f t="shared" si="1"/>
        <v>2.882015788904482</v>
      </c>
      <c r="H9" s="1">
        <f t="shared" si="6"/>
        <v>8.306015007494725</v>
      </c>
      <c r="I9" s="1">
        <f t="shared" si="2"/>
        <v>-3.571428571428669</v>
      </c>
      <c r="J9" s="1">
        <f t="shared" si="7"/>
        <v>12.755102040817022</v>
      </c>
      <c r="K9" s="62">
        <v>27</v>
      </c>
    </row>
    <row r="10" spans="1:11" ht="12.75">
      <c r="A10" s="1">
        <v>87.5</v>
      </c>
      <c r="B10" s="6">
        <v>1600</v>
      </c>
      <c r="C10" s="1">
        <f t="shared" si="3"/>
        <v>7656.25</v>
      </c>
      <c r="D10" s="6">
        <f t="shared" si="4"/>
        <v>2560000</v>
      </c>
      <c r="E10" s="1">
        <f t="shared" si="5"/>
        <v>140000</v>
      </c>
      <c r="F10" s="1">
        <f t="shared" si="0"/>
        <v>1395.9311127933383</v>
      </c>
      <c r="G10" s="1">
        <f t="shared" si="1"/>
        <v>-57.640315778090326</v>
      </c>
      <c r="H10" s="1">
        <f t="shared" si="6"/>
        <v>3322.4060029979687</v>
      </c>
      <c r="I10" s="1">
        <f t="shared" si="2"/>
        <v>146.42857142857133</v>
      </c>
      <c r="J10" s="1">
        <f t="shared" si="7"/>
        <v>21441.326530612216</v>
      </c>
      <c r="K10" s="62">
        <v>27</v>
      </c>
    </row>
    <row r="11" spans="1:11" ht="12.75">
      <c r="A11" s="1">
        <v>85.75</v>
      </c>
      <c r="B11" s="6">
        <v>1400</v>
      </c>
      <c r="C11" s="1">
        <f t="shared" si="3"/>
        <v>7353.0625</v>
      </c>
      <c r="D11" s="6">
        <f t="shared" si="4"/>
        <v>1960000</v>
      </c>
      <c r="E11" s="1">
        <f t="shared" si="5"/>
        <v>120050</v>
      </c>
      <c r="F11" s="1">
        <f t="shared" si="0"/>
        <v>1375.757002271007</v>
      </c>
      <c r="G11" s="1">
        <f t="shared" si="1"/>
        <v>-77.8144263004217</v>
      </c>
      <c r="H11" s="1">
        <f t="shared" si="6"/>
        <v>6055.08494046376</v>
      </c>
      <c r="I11" s="1">
        <f t="shared" si="2"/>
        <v>-53.57142857142867</v>
      </c>
      <c r="J11" s="1">
        <f t="shared" si="7"/>
        <v>2869.8979591836837</v>
      </c>
      <c r="K11" s="62">
        <v>27</v>
      </c>
    </row>
    <row r="12" spans="1:11" ht="12.75">
      <c r="A12" s="1">
        <v>84</v>
      </c>
      <c r="B12" s="6">
        <v>1450</v>
      </c>
      <c r="C12" s="1">
        <f t="shared" si="3"/>
        <v>7056</v>
      </c>
      <c r="D12" s="6">
        <f t="shared" si="4"/>
        <v>2102500</v>
      </c>
      <c r="E12" s="1">
        <f t="shared" si="5"/>
        <v>121800</v>
      </c>
      <c r="F12" s="1">
        <f t="shared" si="0"/>
        <v>1355.5828917486751</v>
      </c>
      <c r="G12" s="1">
        <f t="shared" si="1"/>
        <v>-97.98853682275353</v>
      </c>
      <c r="H12" s="1">
        <f t="shared" si="6"/>
        <v>9601.753348664124</v>
      </c>
      <c r="I12" s="1">
        <f t="shared" si="2"/>
        <v>-3.571428571428669</v>
      </c>
      <c r="J12" s="1">
        <f t="shared" si="7"/>
        <v>12.755102040817022</v>
      </c>
      <c r="K12" s="62">
        <v>27</v>
      </c>
    </row>
    <row r="13" spans="1:11" ht="12.75">
      <c r="A13" s="1">
        <v>77</v>
      </c>
      <c r="B13" s="6">
        <v>1300</v>
      </c>
      <c r="C13" s="1">
        <f t="shared" si="3"/>
        <v>5929</v>
      </c>
      <c r="D13" s="6">
        <f t="shared" si="4"/>
        <v>1690000</v>
      </c>
      <c r="E13" s="1">
        <f t="shared" si="5"/>
        <v>100100</v>
      </c>
      <c r="F13" s="1">
        <f t="shared" si="0"/>
        <v>1274.8864496593492</v>
      </c>
      <c r="G13" s="1">
        <f t="shared" si="1"/>
        <v>-178.6849789120795</v>
      </c>
      <c r="H13" s="1">
        <f t="shared" si="6"/>
        <v>31928.32168881029</v>
      </c>
      <c r="I13" s="1">
        <f t="shared" si="2"/>
        <v>-153.57142857142867</v>
      </c>
      <c r="J13" s="1">
        <f t="shared" si="7"/>
        <v>23584.18367346942</v>
      </c>
      <c r="K13" s="62">
        <v>27</v>
      </c>
    </row>
    <row r="14" spans="1:11" ht="12.75">
      <c r="A14" s="1">
        <v>73.5</v>
      </c>
      <c r="B14" s="6">
        <v>1200</v>
      </c>
      <c r="C14" s="1">
        <f t="shared" si="3"/>
        <v>5402.25</v>
      </c>
      <c r="D14" s="6">
        <f t="shared" si="4"/>
        <v>1440000</v>
      </c>
      <c r="E14" s="1">
        <f t="shared" si="5"/>
        <v>88200</v>
      </c>
      <c r="F14" s="1">
        <f t="shared" si="0"/>
        <v>1234.538228614686</v>
      </c>
      <c r="G14" s="1">
        <f t="shared" si="1"/>
        <v>-219.0331999567427</v>
      </c>
      <c r="H14" s="1">
        <f t="shared" si="6"/>
        <v>47975.54268329043</v>
      </c>
      <c r="I14" s="1">
        <f t="shared" si="2"/>
        <v>-253.57142857142867</v>
      </c>
      <c r="J14" s="1">
        <f t="shared" si="7"/>
        <v>64298.469387755154</v>
      </c>
      <c r="K14" s="62">
        <v>27</v>
      </c>
    </row>
    <row r="15" spans="1:11" ht="12.75">
      <c r="A15" s="1">
        <v>68.25</v>
      </c>
      <c r="B15" s="6">
        <v>1150</v>
      </c>
      <c r="C15" s="1">
        <f t="shared" si="3"/>
        <v>4658.0625</v>
      </c>
      <c r="D15" s="6">
        <f t="shared" si="4"/>
        <v>1322500</v>
      </c>
      <c r="E15" s="1">
        <f t="shared" si="5"/>
        <v>78487.5</v>
      </c>
      <c r="F15" s="1">
        <f t="shared" si="0"/>
        <v>1174.0158970476912</v>
      </c>
      <c r="G15" s="1">
        <f t="shared" si="1"/>
        <v>-279.5555315237375</v>
      </c>
      <c r="H15" s="1">
        <f t="shared" si="6"/>
        <v>78151.29520551939</v>
      </c>
      <c r="I15" s="1">
        <f t="shared" si="2"/>
        <v>-303.57142857142867</v>
      </c>
      <c r="J15" s="1">
        <f t="shared" si="7"/>
        <v>92155.61224489802</v>
      </c>
      <c r="K15" s="62">
        <v>27</v>
      </c>
    </row>
    <row r="16" spans="1:11" ht="12.75">
      <c r="A16" s="1">
        <v>63</v>
      </c>
      <c r="B16" s="6">
        <v>1000</v>
      </c>
      <c r="C16" s="1">
        <f t="shared" si="3"/>
        <v>3969</v>
      </c>
      <c r="D16" s="6">
        <f t="shared" si="4"/>
        <v>1000000</v>
      </c>
      <c r="E16" s="1">
        <f t="shared" si="5"/>
        <v>63000</v>
      </c>
      <c r="F16" s="1">
        <f t="shared" si="0"/>
        <v>1113.4935654806964</v>
      </c>
      <c r="G16" s="1">
        <f t="shared" si="1"/>
        <v>-340.0778630907323</v>
      </c>
      <c r="H16" s="1">
        <f t="shared" si="6"/>
        <v>115652.95296435886</v>
      </c>
      <c r="I16" s="1">
        <f t="shared" si="2"/>
        <v>-453.57142857142867</v>
      </c>
      <c r="J16" s="1">
        <f t="shared" si="7"/>
        <v>205727.04081632663</v>
      </c>
      <c r="K16" s="62">
        <v>27</v>
      </c>
    </row>
    <row r="17" spans="1:10" ht="12.75">
      <c r="A17" s="44">
        <f>SUM(A3:A16)</f>
        <v>1295</v>
      </c>
      <c r="B17" s="46">
        <f>SUM(B3:B16)</f>
        <v>20350</v>
      </c>
      <c r="C17" s="44">
        <f>SUM(C3:C16)</f>
        <v>124411</v>
      </c>
      <c r="D17" s="46">
        <f>SUM(D3:D16)</f>
        <v>30282500</v>
      </c>
      <c r="E17" s="44">
        <f>SUM(E3:E16)</f>
        <v>1935675</v>
      </c>
      <c r="H17" s="13">
        <f>SUM(H3:H16)</f>
        <v>614445.7661944415</v>
      </c>
      <c r="J17" s="13">
        <f>SUM(J3:J16)</f>
        <v>702321.4285714285</v>
      </c>
    </row>
    <row r="18" spans="1:10" s="47" customFormat="1" ht="14.25">
      <c r="A18" s="47" t="s">
        <v>176</v>
      </c>
      <c r="B18" s="48" t="s">
        <v>177</v>
      </c>
      <c r="C18" s="47" t="s">
        <v>178</v>
      </c>
      <c r="D18" s="48" t="s">
        <v>186</v>
      </c>
      <c r="E18" s="47" t="s">
        <v>179</v>
      </c>
      <c r="F18" s="47" t="s">
        <v>180</v>
      </c>
      <c r="G18" s="47" t="s">
        <v>181</v>
      </c>
      <c r="H18" s="47" t="s">
        <v>184</v>
      </c>
      <c r="I18" s="47" t="s">
        <v>182</v>
      </c>
      <c r="J18" s="47" t="s">
        <v>183</v>
      </c>
    </row>
    <row r="20" spans="1:3" ht="12.75">
      <c r="A20" s="1" t="s">
        <v>158</v>
      </c>
      <c r="B20" s="7" t="s">
        <v>159</v>
      </c>
      <c r="C20" s="1">
        <f>COUNT(A3:A16)</f>
        <v>14</v>
      </c>
    </row>
    <row r="21" spans="1:8" ht="12.75">
      <c r="A21" s="1" t="s">
        <v>172</v>
      </c>
      <c r="B21" s="7" t="s">
        <v>159</v>
      </c>
      <c r="C21" s="1">
        <f>C20*E17</f>
        <v>27099450</v>
      </c>
      <c r="F21" s="1" t="s">
        <v>167</v>
      </c>
      <c r="G21" s="7" t="s">
        <v>159</v>
      </c>
      <c r="H21" s="7" t="s">
        <v>168</v>
      </c>
    </row>
    <row r="22" spans="1:3" ht="12.75">
      <c r="A22" s="1" t="s">
        <v>173</v>
      </c>
      <c r="B22" s="7" t="s">
        <v>159</v>
      </c>
      <c r="C22" s="1">
        <f>A17*B17</f>
        <v>26353250</v>
      </c>
    </row>
    <row r="23" spans="1:8" ht="12.75">
      <c r="A23" s="1" t="s">
        <v>174</v>
      </c>
      <c r="B23" s="7" t="s">
        <v>159</v>
      </c>
      <c r="C23" s="1">
        <f>SQRT((C20*C17)-(A17^2))</f>
        <v>254.41894583540747</v>
      </c>
      <c r="F23" s="1" t="s">
        <v>169</v>
      </c>
      <c r="G23" s="7" t="s">
        <v>159</v>
      </c>
      <c r="H23" s="7">
        <f>B17/C20</f>
        <v>1453.5714285714287</v>
      </c>
    </row>
    <row r="24" spans="1:3" ht="12.75">
      <c r="A24" s="1" t="s">
        <v>175</v>
      </c>
      <c r="B24" s="7" t="s">
        <v>159</v>
      </c>
      <c r="C24" s="1">
        <f>SQRT((C20*D17)-(B17^2))</f>
        <v>3135.681744055031</v>
      </c>
    </row>
    <row r="25" spans="6:8" ht="12.75">
      <c r="F25" s="1" t="s">
        <v>148</v>
      </c>
      <c r="G25" s="7" t="s">
        <v>159</v>
      </c>
      <c r="H25" s="7">
        <v>94.5</v>
      </c>
    </row>
    <row r="26" spans="1:4" ht="12.75">
      <c r="A26" s="13" t="s">
        <v>161</v>
      </c>
      <c r="B26" s="49" t="s">
        <v>159</v>
      </c>
      <c r="C26" s="50">
        <f>(C21-C22)/(C23*C24)</f>
        <v>0.9353492844536805</v>
      </c>
      <c r="D26" s="45"/>
    </row>
    <row r="27" spans="6:9" ht="12.75">
      <c r="F27" s="13" t="s">
        <v>149</v>
      </c>
      <c r="G27" s="49" t="s">
        <v>159</v>
      </c>
      <c r="H27" s="49">
        <f>C20+(C32*H25)</f>
        <v>1103.4019682059047</v>
      </c>
      <c r="I27" s="44" t="s">
        <v>187</v>
      </c>
    </row>
    <row r="28" ht="12.75">
      <c r="C28" s="7" t="s">
        <v>162</v>
      </c>
    </row>
    <row r="29" spans="1:9" ht="12.75">
      <c r="A29" s="1" t="s">
        <v>163</v>
      </c>
      <c r="B29" s="7" t="s">
        <v>159</v>
      </c>
      <c r="C29" s="7"/>
      <c r="F29" s="13" t="s">
        <v>160</v>
      </c>
      <c r="G29" s="49" t="s">
        <v>159</v>
      </c>
      <c r="H29" s="50">
        <f>H17/J17</f>
        <v>0.8748782839280124</v>
      </c>
      <c r="I29" s="45"/>
    </row>
    <row r="30" spans="2:3" ht="12.75">
      <c r="B30" s="7"/>
      <c r="C30" s="7" t="s">
        <v>164</v>
      </c>
    </row>
    <row r="31" spans="2:6" ht="14.25">
      <c r="B31" s="7"/>
      <c r="F31" s="1" t="s">
        <v>188</v>
      </c>
    </row>
    <row r="32" spans="2:6" ht="12.75">
      <c r="B32" s="7" t="s">
        <v>159</v>
      </c>
      <c r="C32" s="7">
        <f>(C21-C22)/((C20*C17)-(A17^2))</f>
        <v>11.528063155618039</v>
      </c>
      <c r="F32" s="1" t="s">
        <v>189</v>
      </c>
    </row>
    <row r="33" ht="12.75">
      <c r="F33" s="1" t="s">
        <v>190</v>
      </c>
    </row>
    <row r="34" spans="1:3" ht="12.75">
      <c r="A34" s="1" t="s">
        <v>165</v>
      </c>
      <c r="B34" s="7" t="s">
        <v>159</v>
      </c>
      <c r="C34" s="7" t="s">
        <v>166</v>
      </c>
    </row>
    <row r="36" spans="2:3" ht="12.75">
      <c r="B36" s="7" t="s">
        <v>159</v>
      </c>
      <c r="C36" s="7">
        <f>(B17-(C32*A17))/C20</f>
        <v>387.22558667676003</v>
      </c>
    </row>
    <row r="38" ht="12.75">
      <c r="A38" s="1" t="s">
        <v>191</v>
      </c>
    </row>
    <row r="39" ht="12.75">
      <c r="A39" s="1" t="s">
        <v>192</v>
      </c>
    </row>
  </sheetData>
  <printOptions horizontalCentered="1"/>
  <pageMargins left="0.67" right="0.65" top="0.61" bottom="0.59" header="0.4" footer="0.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18" sqref="B18"/>
    </sheetView>
  </sheetViews>
  <sheetFormatPr defaultColWidth="9.140625" defaultRowHeight="12.75"/>
  <cols>
    <col min="1" max="1" width="34.421875" style="1" bestFit="1" customWidth="1"/>
    <col min="2" max="2" width="10.140625" style="1" bestFit="1" customWidth="1"/>
    <col min="3" max="3" width="13.57421875" style="1" bestFit="1" customWidth="1"/>
    <col min="4" max="16384" width="9.140625" style="1" customWidth="1"/>
  </cols>
  <sheetData>
    <row r="1" ht="12.75">
      <c r="A1" s="3" t="s">
        <v>0</v>
      </c>
    </row>
    <row r="2" ht="12.75">
      <c r="A2" s="3"/>
    </row>
    <row r="3" spans="1:2" ht="12.75">
      <c r="A3" s="3" t="s">
        <v>4</v>
      </c>
      <c r="B3" s="5">
        <v>0.4</v>
      </c>
    </row>
    <row r="4" ht="12.75">
      <c r="A4" s="3"/>
    </row>
    <row r="5" ht="12.75">
      <c r="A5" s="3" t="s">
        <v>7</v>
      </c>
    </row>
    <row r="6" spans="1:2" ht="12.75">
      <c r="A6" s="3" t="s">
        <v>8</v>
      </c>
      <c r="B6" s="6">
        <v>67000</v>
      </c>
    </row>
    <row r="7" spans="1:2" ht="12.75">
      <c r="A7" s="3" t="s">
        <v>9</v>
      </c>
      <c r="B7" s="6">
        <v>130000</v>
      </c>
    </row>
    <row r="8" ht="12.75">
      <c r="A8" s="3"/>
    </row>
    <row r="9" spans="2:3" ht="12.75">
      <c r="B9" s="4" t="s">
        <v>2</v>
      </c>
      <c r="C9" s="4" t="s">
        <v>3</v>
      </c>
    </row>
    <row r="10" spans="1:3" ht="12.75">
      <c r="A10" s="1" t="s">
        <v>1</v>
      </c>
      <c r="B10" s="1">
        <v>20.2</v>
      </c>
      <c r="C10" s="1">
        <v>29</v>
      </c>
    </row>
    <row r="12" spans="1:3" ht="12.75">
      <c r="A12" s="1" t="s">
        <v>5</v>
      </c>
      <c r="B12" s="7" t="s">
        <v>10</v>
      </c>
      <c r="C12" s="7" t="s">
        <v>8</v>
      </c>
    </row>
    <row r="14" spans="1:3" ht="12.75">
      <c r="A14" s="1" t="s">
        <v>6</v>
      </c>
      <c r="B14" s="6">
        <v>32000</v>
      </c>
      <c r="C14" s="6">
        <v>17000</v>
      </c>
    </row>
    <row r="16" spans="1:2" ht="12.75">
      <c r="A16" s="1" t="s">
        <v>12</v>
      </c>
      <c r="B16" s="6">
        <v>27000</v>
      </c>
    </row>
    <row r="18" spans="1:2" ht="12.75">
      <c r="A18" s="1" t="s">
        <v>41</v>
      </c>
      <c r="B18" s="11">
        <v>52.143</v>
      </c>
    </row>
    <row r="20" spans="1:2" ht="12.75">
      <c r="A20" s="1" t="s">
        <v>42</v>
      </c>
      <c r="B20" s="1">
        <v>37</v>
      </c>
    </row>
    <row r="21" ht="12.75">
      <c r="A21" s="2"/>
    </row>
    <row r="22" spans="1:2" ht="12.75">
      <c r="A22" s="1" t="s">
        <v>47</v>
      </c>
      <c r="B22" s="5">
        <v>0.09</v>
      </c>
    </row>
    <row r="23" spans="1:2" ht="12.75">
      <c r="A23" s="1" t="s">
        <v>46</v>
      </c>
      <c r="B23" s="5">
        <v>0.15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B37" sqref="B37:D37"/>
    </sheetView>
  </sheetViews>
  <sheetFormatPr defaultColWidth="9.140625" defaultRowHeight="12.75"/>
  <cols>
    <col min="1" max="1" width="44.140625" style="1" bestFit="1" customWidth="1"/>
    <col min="2" max="2" width="8.140625" style="1" bestFit="1" customWidth="1"/>
    <col min="3" max="3" width="10.28125" style="1" bestFit="1" customWidth="1"/>
    <col min="4" max="4" width="9.140625" style="1" bestFit="1" customWidth="1"/>
    <col min="5" max="5" width="9.140625" style="1" customWidth="1"/>
    <col min="6" max="7" width="11.140625" style="1" bestFit="1" customWidth="1"/>
    <col min="8" max="16384" width="9.140625" style="1" customWidth="1"/>
  </cols>
  <sheetData>
    <row r="1" ht="12.75">
      <c r="A1" s="8"/>
    </row>
    <row r="4" spans="1:2" ht="12.75">
      <c r="A4" s="1" t="s">
        <v>12</v>
      </c>
      <c r="B4" s="6">
        <f>General!B16</f>
        <v>27000</v>
      </c>
    </row>
    <row r="5" ht="12.75">
      <c r="B5" s="6"/>
    </row>
    <row r="6" spans="2:4" ht="12.75">
      <c r="B6" s="12" t="s">
        <v>29</v>
      </c>
      <c r="C6" s="7" t="s">
        <v>30</v>
      </c>
      <c r="D6" s="7" t="s">
        <v>31</v>
      </c>
    </row>
    <row r="7" spans="1:4" ht="12.75">
      <c r="A7" s="1" t="s">
        <v>11</v>
      </c>
      <c r="B7" s="5">
        <v>0.1</v>
      </c>
      <c r="C7" s="26">
        <v>0.15</v>
      </c>
      <c r="D7" s="5">
        <v>0.2</v>
      </c>
    </row>
    <row r="8" ht="12.75">
      <c r="C8" s="9"/>
    </row>
    <row r="9" spans="1:4" ht="12.75">
      <c r="A9" s="1" t="s">
        <v>13</v>
      </c>
      <c r="B9" s="6">
        <f>ROUND($B4*B7,0)</f>
        <v>2700</v>
      </c>
      <c r="C9" s="6">
        <f>ROUND($B4*C7,0)</f>
        <v>4050</v>
      </c>
      <c r="D9" s="6">
        <f>ROUND($B4*D7,0)</f>
        <v>5400</v>
      </c>
    </row>
    <row r="11" ht="12.75">
      <c r="A11" s="1" t="s">
        <v>19</v>
      </c>
    </row>
    <row r="13" spans="1:7" ht="12.75">
      <c r="A13" s="1" t="s">
        <v>14</v>
      </c>
      <c r="B13" s="1">
        <v>50</v>
      </c>
      <c r="G13" s="1">
        <f>D9*B13</f>
        <v>270000</v>
      </c>
    </row>
    <row r="14" spans="1:2" ht="12.75">
      <c r="A14" s="1" t="s">
        <v>15</v>
      </c>
      <c r="B14" s="1">
        <v>10</v>
      </c>
    </row>
    <row r="16" spans="1:2" ht="12.75">
      <c r="A16" s="1" t="s">
        <v>16</v>
      </c>
      <c r="B16" s="5">
        <v>0.05</v>
      </c>
    </row>
    <row r="17" spans="1:2" ht="12.75">
      <c r="A17" s="1" t="s">
        <v>18</v>
      </c>
      <c r="B17" s="1">
        <v>0</v>
      </c>
    </row>
    <row r="19" ht="12.75">
      <c r="B19" s="7" t="s">
        <v>21</v>
      </c>
    </row>
    <row r="20" spans="1:2" ht="12.75">
      <c r="A20" s="1" t="s">
        <v>17</v>
      </c>
      <c r="B20" s="1">
        <f>ROUND(($B13-$B17)/$B14,2)</f>
        <v>5</v>
      </c>
    </row>
    <row r="21" spans="1:2" ht="12.75">
      <c r="A21" s="1" t="s">
        <v>23</v>
      </c>
      <c r="B21" s="1">
        <f>ROUND(((B13-B17)/2)*B16,0)</f>
        <v>1</v>
      </c>
    </row>
    <row r="22" ht="12.75">
      <c r="B22" s="10">
        <f>SUM(B20:B21)</f>
        <v>6</v>
      </c>
    </row>
    <row r="24" spans="1:4" ht="12.75">
      <c r="A24" s="1" t="s">
        <v>20</v>
      </c>
      <c r="B24" s="12" t="s">
        <v>29</v>
      </c>
      <c r="C24" s="7" t="s">
        <v>30</v>
      </c>
      <c r="D24" s="7" t="s">
        <v>31</v>
      </c>
    </row>
    <row r="25" spans="2:4" ht="12.75">
      <c r="B25" s="7" t="s">
        <v>21</v>
      </c>
      <c r="C25" s="7" t="s">
        <v>21</v>
      </c>
      <c r="D25" s="7" t="s">
        <v>21</v>
      </c>
    </row>
    <row r="26" spans="1:4" ht="12.75">
      <c r="A26" s="1" t="s">
        <v>22</v>
      </c>
      <c r="B26" s="6">
        <f>ROUND(B9*$B22,0)</f>
        <v>16200</v>
      </c>
      <c r="C26" s="6">
        <f>ROUND(C9*$B22,0)</f>
        <v>24300</v>
      </c>
      <c r="D26" s="6">
        <f>ROUND(D9*$B22,0)</f>
        <v>32400</v>
      </c>
    </row>
    <row r="28" spans="1:2" ht="12.75">
      <c r="A28" s="1" t="s">
        <v>24</v>
      </c>
      <c r="B28" s="11">
        <f>ROUND(General!C14/General!B16,3)</f>
        <v>0.63</v>
      </c>
    </row>
    <row r="29" spans="1:2" ht="12.75">
      <c r="A29" s="1" t="s">
        <v>25</v>
      </c>
      <c r="B29" s="5">
        <v>0.15</v>
      </c>
    </row>
    <row r="30" spans="1:2" ht="12.75">
      <c r="A30" s="1" t="s">
        <v>26</v>
      </c>
      <c r="B30" s="11">
        <f>ROUND(B28*B29,3)</f>
        <v>0.095</v>
      </c>
    </row>
    <row r="31" spans="1:2" ht="12.75">
      <c r="A31" s="1" t="s">
        <v>33</v>
      </c>
      <c r="B31" s="1">
        <f>General!C10</f>
        <v>29</v>
      </c>
    </row>
    <row r="33" spans="2:4" ht="12.75">
      <c r="B33" s="12" t="s">
        <v>29</v>
      </c>
      <c r="C33" s="7" t="s">
        <v>30</v>
      </c>
      <c r="D33" s="7" t="s">
        <v>31</v>
      </c>
    </row>
    <row r="34" spans="2:4" ht="12.75">
      <c r="B34" s="7" t="s">
        <v>32</v>
      </c>
      <c r="C34" s="7" t="s">
        <v>32</v>
      </c>
      <c r="D34" s="7" t="s">
        <v>32</v>
      </c>
    </row>
    <row r="35" spans="1:4" ht="12.75">
      <c r="A35" s="1" t="s">
        <v>27</v>
      </c>
      <c r="B35" s="1">
        <f>ROUND(B9*$B30,2)</f>
        <v>256.5</v>
      </c>
      <c r="C35" s="1">
        <f>ROUND(C9*$B30,2)</f>
        <v>384.75</v>
      </c>
      <c r="D35" s="1">
        <f>ROUND(D9*$B30,2)</f>
        <v>513</v>
      </c>
    </row>
    <row r="37" spans="2:4" ht="12.75">
      <c r="B37" s="7" t="s">
        <v>21</v>
      </c>
      <c r="C37" s="7" t="s">
        <v>21</v>
      </c>
      <c r="D37" s="7" t="s">
        <v>21</v>
      </c>
    </row>
    <row r="38" spans="1:4" ht="12.75">
      <c r="A38" s="1" t="s">
        <v>28</v>
      </c>
      <c r="B38" s="6">
        <f>ROUND(B35*$B31,0)</f>
        <v>7439</v>
      </c>
      <c r="C38" s="6">
        <f>ROUND(C35*$B31,0)</f>
        <v>11158</v>
      </c>
      <c r="D38" s="6">
        <f>ROUND(D35*$B31,0)</f>
        <v>14877</v>
      </c>
    </row>
    <row r="39" spans="2:4" ht="12.75">
      <c r="B39" s="6"/>
      <c r="C39" s="6"/>
      <c r="D39" s="6"/>
    </row>
    <row r="40" spans="1:4" ht="12.75">
      <c r="A40" s="1" t="s">
        <v>34</v>
      </c>
      <c r="B40" s="6">
        <f>B26-B38</f>
        <v>8761</v>
      </c>
      <c r="C40" s="6">
        <f>C26-C38</f>
        <v>13142</v>
      </c>
      <c r="D40" s="6">
        <f>D26-D38</f>
        <v>17523</v>
      </c>
    </row>
    <row r="42" spans="1:4" ht="12.75">
      <c r="A42" s="1" t="s">
        <v>35</v>
      </c>
      <c r="B42" s="1">
        <f>ROUND(B40/B35,2)</f>
        <v>34.16</v>
      </c>
      <c r="C42" s="1">
        <f>ROUND(C40/C35,2)</f>
        <v>34.16</v>
      </c>
      <c r="D42" s="1">
        <f>ROUND(D40/D35,2)</f>
        <v>34.16</v>
      </c>
    </row>
    <row r="44" ht="12.75">
      <c r="B44" s="6"/>
    </row>
  </sheetData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  <headerFooter alignWithMargins="0">
    <oddFooter>&amp;L&amp;F   &amp;A  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E.J. Shirer</dc:creator>
  <cp:keywords/>
  <dc:description/>
  <cp:lastModifiedBy>supervisor</cp:lastModifiedBy>
  <cp:lastPrinted>2004-06-26T12:51:29Z</cp:lastPrinted>
  <dcterms:created xsi:type="dcterms:W3CDTF">1999-06-30T19:17:30Z</dcterms:created>
  <dcterms:modified xsi:type="dcterms:W3CDTF">2004-08-23T14:38:15Z</dcterms:modified>
  <cp:category/>
  <cp:version/>
  <cp:contentType/>
  <cp:contentStatus/>
</cp:coreProperties>
</file>